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Groups\PlanningProgramming\TIP\TIP\DOCS\obligation reports\FY 2016\"/>
    </mc:Choice>
  </mc:AlternateContent>
  <bookViews>
    <workbookView xWindow="0" yWindow="0" windowWidth="18870" windowHeight="7725" firstSheet="4" activeTab="4"/>
  </bookViews>
  <sheets>
    <sheet name="CMAQ16" sheetId="16" r:id="rId1"/>
    <sheet name="FFY16_Obs" sheetId="19" r:id="rId2"/>
    <sheet name="FFY16MPA_FV" sheetId="3" r:id="rId3"/>
    <sheet name="Transit_FTA" sheetId="18" r:id="rId4"/>
    <sheet name="Roads" sheetId="4" r:id="rId5"/>
  </sheets>
  <definedNames>
    <definedName name="_xlnm._FilterDatabase" localSheetId="0" hidden="1">CMAQ16!$A$1:$S$180</definedName>
    <definedName name="_xlnm._FilterDatabase" localSheetId="1" hidden="1">FFY16_Obs!$A$1:$Z$477</definedName>
    <definedName name="_xlnm._FilterDatabase" localSheetId="2" hidden="1">FFY16MPA_FV!$A$1:$XFC$189</definedName>
    <definedName name="_xlnm._FilterDatabase" localSheetId="4" hidden="1">Roads!$A$1:$O$1045</definedName>
    <definedName name="_xlnm._FilterDatabase" localSheetId="3" hidden="1">Transit_FTA!$A$1:$W$104</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4" i="3" l="1"/>
  <c r="L96" i="19" l="1"/>
  <c r="M96" i="19" s="1"/>
  <c r="Y96" i="19"/>
  <c r="L448" i="19"/>
  <c r="M448" i="19" s="1"/>
  <c r="Y448" i="19"/>
  <c r="L312" i="19"/>
  <c r="M312" i="19" s="1"/>
  <c r="Y312" i="19"/>
  <c r="L104" i="19"/>
  <c r="M104" i="19" s="1"/>
  <c r="Y104" i="19"/>
  <c r="L109" i="19"/>
  <c r="M109" i="19" s="1"/>
  <c r="Y109" i="19"/>
  <c r="L132" i="19"/>
  <c r="M132" i="19" s="1"/>
  <c r="Y132" i="19"/>
  <c r="L69" i="19"/>
  <c r="M69" i="19" s="1"/>
  <c r="Y69" i="19"/>
  <c r="L188" i="19"/>
  <c r="M188" i="19" s="1"/>
  <c r="Y188" i="19"/>
  <c r="M210" i="19"/>
  <c r="Y210" i="19"/>
  <c r="L466" i="19"/>
  <c r="M466" i="19" s="1"/>
  <c r="Y466" i="19"/>
  <c r="L467" i="19"/>
  <c r="M467" i="19" s="1"/>
  <c r="Y467" i="19"/>
  <c r="L74" i="19"/>
  <c r="M74" i="19" s="1"/>
  <c r="Y74" i="19"/>
  <c r="L310" i="19"/>
  <c r="M310" i="19" s="1"/>
  <c r="Y310" i="19"/>
  <c r="L311" i="19"/>
  <c r="M311" i="19" s="1"/>
  <c r="Y311" i="19"/>
  <c r="L176" i="19"/>
  <c r="M176" i="19" s="1"/>
  <c r="Y176" i="19"/>
  <c r="L72" i="19"/>
  <c r="M72" i="19" s="1"/>
  <c r="Y72" i="19"/>
  <c r="L93" i="19"/>
  <c r="M93" i="19" s="1"/>
  <c r="Y93" i="19"/>
  <c r="L292" i="19"/>
  <c r="M292" i="19" s="1"/>
  <c r="Y292" i="19"/>
  <c r="L293" i="19"/>
  <c r="M293" i="19" s="1"/>
  <c r="Y293" i="19"/>
  <c r="L412" i="19"/>
  <c r="M412" i="19" s="1"/>
  <c r="Y412" i="19"/>
  <c r="L65" i="19"/>
  <c r="M65" i="19" s="1"/>
  <c r="Y65" i="19"/>
  <c r="L21" i="19"/>
  <c r="M21" i="19" s="1"/>
  <c r="Y21" i="19"/>
  <c r="L306" i="19"/>
  <c r="M306" i="19" s="1"/>
  <c r="Y306" i="19"/>
  <c r="L307" i="19"/>
  <c r="M307" i="19" s="1"/>
  <c r="Y307" i="19"/>
  <c r="L95" i="19"/>
  <c r="M95" i="19" s="1"/>
  <c r="Y95" i="19"/>
  <c r="L202" i="19"/>
  <c r="M202" i="19" s="1"/>
  <c r="Y202" i="19"/>
  <c r="L203" i="19"/>
  <c r="M203" i="19" s="1"/>
  <c r="Y203" i="19"/>
  <c r="L303" i="19"/>
  <c r="Y303" i="19"/>
  <c r="L97" i="19"/>
  <c r="M97" i="19" s="1"/>
  <c r="Y97" i="19"/>
  <c r="L426" i="19"/>
  <c r="M426" i="19" s="1"/>
  <c r="Y426" i="19"/>
  <c r="L106" i="19"/>
  <c r="M106" i="19" s="1"/>
  <c r="Y106" i="19"/>
  <c r="L468" i="19"/>
  <c r="M468" i="19" s="1"/>
  <c r="Y468" i="19"/>
  <c r="L284" i="19"/>
  <c r="M284" i="19" s="1"/>
  <c r="Y284" i="19"/>
  <c r="L150" i="19"/>
  <c r="M150" i="19" s="1"/>
  <c r="Y150" i="19"/>
  <c r="L253" i="19"/>
  <c r="M253" i="19" s="1"/>
  <c r="Y253" i="19"/>
  <c r="L471" i="19"/>
  <c r="M471" i="19" s="1"/>
  <c r="Y471" i="19"/>
  <c r="L59" i="19"/>
  <c r="M59" i="19" s="1"/>
  <c r="Y59" i="19"/>
  <c r="L143" i="19"/>
  <c r="M143" i="19" s="1"/>
  <c r="Y143" i="19"/>
  <c r="L179" i="19"/>
  <c r="M179" i="19" s="1"/>
  <c r="Y179" i="19"/>
  <c r="L196" i="19"/>
  <c r="M196" i="19" s="1"/>
  <c r="Y196" i="19"/>
  <c r="L327" i="19"/>
  <c r="M327" i="19" s="1"/>
  <c r="Y327" i="19"/>
  <c r="L331" i="19"/>
  <c r="M331" i="19" s="1"/>
  <c r="Y331" i="19"/>
  <c r="L369" i="19"/>
  <c r="M369" i="19" s="1"/>
  <c r="Y369" i="19"/>
  <c r="L192" i="19"/>
  <c r="M192" i="19" s="1"/>
  <c r="Y192" i="19"/>
  <c r="L193" i="19"/>
  <c r="M193" i="19" s="1"/>
  <c r="Y193" i="19"/>
  <c r="L218" i="19"/>
  <c r="M218" i="19" s="1"/>
  <c r="Y218" i="19"/>
  <c r="M386" i="19"/>
  <c r="Y386" i="19"/>
  <c r="L326" i="19"/>
  <c r="M326" i="19" s="1"/>
  <c r="Y326" i="19"/>
  <c r="L456" i="19"/>
  <c r="M456" i="19" s="1"/>
  <c r="Y456" i="19"/>
  <c r="L457" i="19"/>
  <c r="M457" i="19" s="1"/>
  <c r="Y457" i="19"/>
  <c r="L425" i="19"/>
  <c r="M425" i="19" s="1"/>
  <c r="Y425" i="19"/>
  <c r="L333" i="19"/>
  <c r="M333" i="19" s="1"/>
  <c r="Y333" i="19"/>
  <c r="L91" i="19"/>
  <c r="M91" i="19" s="1"/>
  <c r="Y91" i="19"/>
  <c r="L92" i="19"/>
  <c r="M92" i="19" s="1"/>
  <c r="Y92" i="19"/>
  <c r="L261" i="19"/>
  <c r="M261" i="19" s="1"/>
  <c r="Y261" i="19"/>
  <c r="M281" i="19"/>
  <c r="Y281" i="19"/>
  <c r="L285" i="19"/>
  <c r="M285" i="19" s="1"/>
  <c r="Y285" i="19"/>
  <c r="L286" i="19"/>
  <c r="M286" i="19" s="1"/>
  <c r="Y286" i="19"/>
  <c r="L449" i="19"/>
  <c r="M449" i="19" s="1"/>
  <c r="Y449" i="19"/>
  <c r="L458" i="19"/>
  <c r="M458" i="19" s="1"/>
  <c r="Y458" i="19"/>
  <c r="L459" i="19"/>
  <c r="M459" i="19" s="1"/>
  <c r="Y459" i="19"/>
  <c r="K206" i="19"/>
  <c r="Y206" i="19" s="1"/>
  <c r="N206" i="19"/>
  <c r="L206" i="19" s="1"/>
  <c r="N207" i="19"/>
  <c r="M207" i="19" s="1"/>
  <c r="Y207" i="19"/>
  <c r="L208" i="19"/>
  <c r="M208" i="19" s="1"/>
  <c r="Y208" i="19"/>
  <c r="M385" i="19"/>
  <c r="Y385" i="19"/>
  <c r="L94" i="19"/>
  <c r="M94" i="19" s="1"/>
  <c r="Y94" i="19"/>
  <c r="L98" i="19"/>
  <c r="M98" i="19" s="1"/>
  <c r="Y98" i="19"/>
  <c r="L105" i="19"/>
  <c r="Y105" i="19"/>
  <c r="L138" i="19"/>
  <c r="Y138" i="19"/>
  <c r="L139" i="19"/>
  <c r="M139" i="19" s="1"/>
  <c r="Y139" i="19"/>
  <c r="L405" i="19"/>
  <c r="M405" i="19" s="1"/>
  <c r="Y405" i="19"/>
  <c r="L406" i="19"/>
  <c r="M406" i="19" s="1"/>
  <c r="Y406" i="19"/>
  <c r="L343" i="19"/>
  <c r="M343" i="19" s="1"/>
  <c r="Y343" i="19"/>
  <c r="L390" i="19"/>
  <c r="M390" i="19" s="1"/>
  <c r="Y390" i="19"/>
  <c r="L159" i="19"/>
  <c r="M159" i="19" s="1"/>
  <c r="Y159" i="19"/>
  <c r="L194" i="19"/>
  <c r="M194" i="19" s="1"/>
  <c r="Y194" i="19"/>
  <c r="L125" i="19"/>
  <c r="M125" i="19" s="1"/>
  <c r="Y125" i="19"/>
  <c r="L126" i="19"/>
  <c r="M126" i="19" s="1"/>
  <c r="Y126" i="19"/>
  <c r="L63" i="19"/>
  <c r="M63" i="19" s="1"/>
  <c r="Y63" i="19"/>
  <c r="L64" i="19"/>
  <c r="M64" i="19" s="1"/>
  <c r="Y64" i="19"/>
  <c r="L190" i="19"/>
  <c r="M190" i="19" s="1"/>
  <c r="Y190" i="19"/>
  <c r="L191" i="19"/>
  <c r="M191" i="19" s="1"/>
  <c r="Y191" i="19"/>
  <c r="L252" i="19"/>
  <c r="M252" i="19" s="1"/>
  <c r="Y252" i="19"/>
  <c r="L370" i="19"/>
  <c r="M370" i="19" s="1"/>
  <c r="Y370" i="19"/>
  <c r="L391" i="19"/>
  <c r="M391" i="19" s="1"/>
  <c r="Y391" i="19"/>
  <c r="L392" i="19"/>
  <c r="M392" i="19" s="1"/>
  <c r="Y392" i="19"/>
  <c r="L146" i="19"/>
  <c r="M146" i="19" s="1"/>
  <c r="Y146" i="19"/>
  <c r="L402" i="19"/>
  <c r="M402" i="19" s="1"/>
  <c r="Y402" i="19"/>
  <c r="L66" i="19"/>
  <c r="M66" i="19" s="1"/>
  <c r="Y66" i="19"/>
  <c r="L67" i="19"/>
  <c r="M67" i="19" s="1"/>
  <c r="Y67" i="19"/>
  <c r="L249" i="19"/>
  <c r="M249" i="19" s="1"/>
  <c r="Y249" i="19"/>
  <c r="L415" i="19"/>
  <c r="M415" i="19" s="1"/>
  <c r="Y415" i="19"/>
  <c r="K416" i="19"/>
  <c r="Y416" i="19" s="1"/>
  <c r="N416" i="19"/>
  <c r="L416" i="19" s="1"/>
  <c r="M417" i="19"/>
  <c r="Y417" i="19"/>
  <c r="L444" i="19"/>
  <c r="M444" i="19" s="1"/>
  <c r="Y444" i="19"/>
  <c r="L445" i="19"/>
  <c r="M445" i="19" s="1"/>
  <c r="Y445" i="19"/>
  <c r="L62" i="19"/>
  <c r="M62" i="19" s="1"/>
  <c r="Y62" i="19"/>
  <c r="L117" i="19"/>
  <c r="M117" i="19" s="1"/>
  <c r="Y117" i="19"/>
  <c r="L118" i="19"/>
  <c r="M118" i="19" s="1"/>
  <c r="Y118" i="19"/>
  <c r="L243" i="19"/>
  <c r="M243" i="19" s="1"/>
  <c r="Y243" i="19"/>
  <c r="L244" i="19"/>
  <c r="M244" i="19" s="1"/>
  <c r="Y244" i="19"/>
  <c r="L57" i="19"/>
  <c r="M57" i="19" s="1"/>
  <c r="Y57" i="19"/>
  <c r="L100" i="19"/>
  <c r="Y100" i="19"/>
  <c r="L101" i="19"/>
  <c r="M101" i="19" s="1"/>
  <c r="Y101" i="19"/>
  <c r="L133" i="19"/>
  <c r="M133" i="19" s="1"/>
  <c r="Y133" i="19"/>
  <c r="L134" i="19"/>
  <c r="N134" i="19"/>
  <c r="Y134" i="19"/>
  <c r="L348" i="19"/>
  <c r="M348" i="19" s="1"/>
  <c r="Y348" i="19"/>
  <c r="L78" i="19"/>
  <c r="M78" i="19" s="1"/>
  <c r="Y78" i="19"/>
  <c r="L79" i="19"/>
  <c r="Y79" i="19"/>
  <c r="L82" i="19"/>
  <c r="M82" i="19" s="1"/>
  <c r="Y82" i="19"/>
  <c r="L328" i="19"/>
  <c r="Y328" i="19"/>
  <c r="L287" i="19"/>
  <c r="M287" i="19" s="1"/>
  <c r="Y287" i="19"/>
  <c r="K420" i="19"/>
  <c r="Y420" i="19" s="1"/>
  <c r="N420" i="19"/>
  <c r="L420" i="19" s="1"/>
  <c r="L421" i="19"/>
  <c r="M421" i="19" s="1"/>
  <c r="Y421" i="19"/>
  <c r="N129" i="19"/>
  <c r="L129" i="19" s="1"/>
  <c r="Y129" i="19"/>
  <c r="M130" i="19"/>
  <c r="Y130" i="19"/>
  <c r="L131" i="19"/>
  <c r="M131" i="19" s="1"/>
  <c r="Y131" i="19"/>
  <c r="L329" i="19"/>
  <c r="Y329" i="19"/>
  <c r="L330" i="19"/>
  <c r="M330" i="19" s="1"/>
  <c r="Y330" i="19"/>
  <c r="L332" i="19"/>
  <c r="Y332" i="19"/>
  <c r="L276" i="19"/>
  <c r="M276" i="19" s="1"/>
  <c r="Y276" i="19"/>
  <c r="L277" i="19"/>
  <c r="M277" i="19" s="1"/>
  <c r="Y277" i="19"/>
  <c r="L282" i="19"/>
  <c r="M282" i="19" s="1"/>
  <c r="Y282" i="19"/>
  <c r="K283" i="19"/>
  <c r="Y283" i="19" s="1"/>
  <c r="N283" i="19"/>
  <c r="L387" i="19"/>
  <c r="M387" i="19" s="1"/>
  <c r="Y387" i="19"/>
  <c r="L8" i="19"/>
  <c r="M8" i="19" s="1"/>
  <c r="Y8" i="19"/>
  <c r="Y212" i="19"/>
  <c r="L201" i="19"/>
  <c r="M201" i="19" s="1"/>
  <c r="Y201" i="19"/>
  <c r="L113" i="19"/>
  <c r="Y113" i="19"/>
  <c r="L114" i="19"/>
  <c r="N114" i="19"/>
  <c r="Y114" i="19"/>
  <c r="L232" i="19"/>
  <c r="M232" i="19" s="1"/>
  <c r="Y232" i="19"/>
  <c r="L233" i="19"/>
  <c r="M233" i="19" s="1"/>
  <c r="Y233" i="19"/>
  <c r="L225" i="19"/>
  <c r="M225" i="19" s="1"/>
  <c r="Y225" i="19"/>
  <c r="L226" i="19"/>
  <c r="M226" i="19" s="1"/>
  <c r="Y226" i="19"/>
  <c r="L460" i="19"/>
  <c r="M460" i="19" s="1"/>
  <c r="Y460" i="19"/>
  <c r="L461" i="19"/>
  <c r="M461" i="19" s="1"/>
  <c r="Y461" i="19"/>
  <c r="L324" i="19"/>
  <c r="M324" i="19" s="1"/>
  <c r="Y324" i="19"/>
  <c r="L325" i="19"/>
  <c r="M325" i="19" s="1"/>
  <c r="Y325" i="19"/>
  <c r="L87" i="19"/>
  <c r="M87" i="19" s="1"/>
  <c r="Y87" i="19"/>
  <c r="L88" i="19"/>
  <c r="M88" i="19" s="1"/>
  <c r="Y88" i="19"/>
  <c r="L197" i="19"/>
  <c r="M197" i="19" s="1"/>
  <c r="Y197" i="19"/>
  <c r="L198" i="19"/>
  <c r="M198" i="19" s="1"/>
  <c r="Y198" i="19"/>
  <c r="L259" i="19"/>
  <c r="M259" i="19" s="1"/>
  <c r="Y259" i="19"/>
  <c r="L260" i="19"/>
  <c r="M260" i="19" s="1"/>
  <c r="Y260" i="19"/>
  <c r="L407" i="19"/>
  <c r="M407" i="19" s="1"/>
  <c r="Y407" i="19"/>
  <c r="K408" i="19"/>
  <c r="Y408" i="19" s="1"/>
  <c r="N408" i="19"/>
  <c r="L408" i="19" s="1"/>
  <c r="L403" i="19"/>
  <c r="M403" i="19" s="1"/>
  <c r="Y403" i="19"/>
  <c r="K404" i="19"/>
  <c r="Y404" i="19" s="1"/>
  <c r="N404" i="19"/>
  <c r="L404" i="19" s="1"/>
  <c r="K55" i="19"/>
  <c r="Y55" i="19" s="1"/>
  <c r="L55" i="19"/>
  <c r="N56" i="19"/>
  <c r="N55" i="19" s="1"/>
  <c r="Y56" i="19"/>
  <c r="L51" i="19"/>
  <c r="M51" i="19" s="1"/>
  <c r="Y51" i="19"/>
  <c r="L52" i="19"/>
  <c r="M52" i="19" s="1"/>
  <c r="Y52" i="19"/>
  <c r="L246" i="19"/>
  <c r="M246" i="19" s="1"/>
  <c r="Y246" i="19"/>
  <c r="L247" i="19"/>
  <c r="M247" i="19" s="1"/>
  <c r="Y247" i="19"/>
  <c r="L4" i="19"/>
  <c r="M4" i="19" s="1"/>
  <c r="Y4" i="19"/>
  <c r="K5" i="19"/>
  <c r="Y5" i="19" s="1"/>
  <c r="N5" i="19"/>
  <c r="L5" i="19" s="1"/>
  <c r="L6" i="19"/>
  <c r="M6" i="19" s="1"/>
  <c r="Y6" i="19"/>
  <c r="K7" i="19"/>
  <c r="Y7" i="19" s="1"/>
  <c r="N7" i="19"/>
  <c r="L7" i="19" s="1"/>
  <c r="K89" i="19"/>
  <c r="Y89" i="19" s="1"/>
  <c r="L89" i="19"/>
  <c r="L90" i="19"/>
  <c r="N90" i="19"/>
  <c r="N89" i="19" s="1"/>
  <c r="Y90" i="19"/>
  <c r="K53" i="19"/>
  <c r="N53" i="19"/>
  <c r="L53" i="19" s="1"/>
  <c r="L54" i="19"/>
  <c r="M54" i="19" s="1"/>
  <c r="Y54" i="19"/>
  <c r="L35" i="19"/>
  <c r="M35" i="19" s="1"/>
  <c r="Y35" i="19"/>
  <c r="L36" i="19"/>
  <c r="M36" i="19" s="1"/>
  <c r="Y36" i="19"/>
  <c r="L375" i="19"/>
  <c r="M375" i="19" s="1"/>
  <c r="Y375" i="19"/>
  <c r="L451" i="19"/>
  <c r="M451" i="19" s="1"/>
  <c r="Y451" i="19"/>
  <c r="L85" i="19"/>
  <c r="M85" i="19" s="1"/>
  <c r="Y85" i="19"/>
  <c r="K86" i="19"/>
  <c r="Y86" i="19" s="1"/>
  <c r="N86" i="19"/>
  <c r="L86" i="19" s="1"/>
  <c r="L195" i="19"/>
  <c r="M195" i="19" s="1"/>
  <c r="Y195" i="19"/>
  <c r="L187" i="19"/>
  <c r="M187" i="19" s="1"/>
  <c r="Y187" i="19"/>
  <c r="L338" i="19"/>
  <c r="M338" i="19" s="1"/>
  <c r="Y338" i="19"/>
  <c r="L339" i="19"/>
  <c r="M339" i="19" s="1"/>
  <c r="Y339" i="19"/>
  <c r="L361" i="19"/>
  <c r="M361" i="19" s="1"/>
  <c r="Y361" i="19"/>
  <c r="L362" i="19"/>
  <c r="M362" i="19" s="1"/>
  <c r="Y362" i="19"/>
  <c r="Y266" i="19"/>
  <c r="L199" i="19"/>
  <c r="M199" i="19" s="1"/>
  <c r="Y199" i="19"/>
  <c r="L80" i="19"/>
  <c r="M80" i="19" s="1"/>
  <c r="Y80" i="19"/>
  <c r="L189" i="19"/>
  <c r="M189" i="19" s="1"/>
  <c r="Y189" i="19"/>
  <c r="L39" i="19"/>
  <c r="M39" i="19" s="1"/>
  <c r="Y39" i="19"/>
  <c r="K40" i="19"/>
  <c r="L40" i="19" s="1"/>
  <c r="N40" i="19"/>
  <c r="L41" i="19"/>
  <c r="M41" i="19" s="1"/>
  <c r="Y41" i="19"/>
  <c r="L42" i="19"/>
  <c r="M42" i="19" s="1"/>
  <c r="Y42" i="19"/>
  <c r="L291" i="19"/>
  <c r="M291" i="19" s="1"/>
  <c r="Y291" i="19"/>
  <c r="L319" i="19"/>
  <c r="M319" i="19" s="1"/>
  <c r="Y319" i="19"/>
  <c r="L320" i="19"/>
  <c r="M320" i="19" s="1"/>
  <c r="Y320" i="19"/>
  <c r="L365" i="19"/>
  <c r="M365" i="19" s="1"/>
  <c r="Y365" i="19"/>
  <c r="L366" i="19"/>
  <c r="M366" i="19" s="1"/>
  <c r="Y366" i="19"/>
  <c r="L317" i="19"/>
  <c r="M317" i="19" s="1"/>
  <c r="Y317" i="19"/>
  <c r="L318" i="19"/>
  <c r="M318" i="19" s="1"/>
  <c r="Y318" i="19"/>
  <c r="Y472" i="19"/>
  <c r="Y473" i="19"/>
  <c r="Y474" i="19"/>
  <c r="L337" i="19"/>
  <c r="Y337" i="19"/>
  <c r="L112" i="19"/>
  <c r="M112" i="19" s="1"/>
  <c r="Y112" i="19"/>
  <c r="L379" i="19"/>
  <c r="M379" i="19" s="1"/>
  <c r="Y379" i="19"/>
  <c r="L251" i="19"/>
  <c r="M251" i="19" s="1"/>
  <c r="Y251" i="19"/>
  <c r="L256" i="19"/>
  <c r="Y256" i="19"/>
  <c r="L245" i="19"/>
  <c r="M245" i="19" s="1"/>
  <c r="Y245" i="19"/>
  <c r="L452" i="19"/>
  <c r="M452" i="19" s="1"/>
  <c r="Y452" i="19"/>
  <c r="L297" i="19"/>
  <c r="M297" i="19" s="1"/>
  <c r="Y297" i="19"/>
  <c r="L298" i="19"/>
  <c r="M298" i="19" s="1"/>
  <c r="Y298" i="19"/>
  <c r="L299" i="19"/>
  <c r="M299" i="19" s="1"/>
  <c r="Y299" i="19"/>
  <c r="L300" i="19"/>
  <c r="M300" i="19" s="1"/>
  <c r="Y300" i="19"/>
  <c r="L240" i="19"/>
  <c r="M240" i="19" s="1"/>
  <c r="Y240" i="19"/>
  <c r="M241" i="19"/>
  <c r="Y241" i="19"/>
  <c r="L242" i="19"/>
  <c r="M242" i="19" s="1"/>
  <c r="Y242" i="19"/>
  <c r="L380" i="19"/>
  <c r="M380" i="19" s="1"/>
  <c r="Y380" i="19"/>
  <c r="K381" i="19"/>
  <c r="L381" i="19" s="1"/>
  <c r="N381" i="19"/>
  <c r="L141" i="19"/>
  <c r="M141" i="19" s="1"/>
  <c r="Y141" i="19"/>
  <c r="L142" i="19"/>
  <c r="M142" i="19" s="1"/>
  <c r="Y142" i="19"/>
  <c r="K358" i="19"/>
  <c r="Y358" i="19" s="1"/>
  <c r="N358" i="19"/>
  <c r="L358" i="19" s="1"/>
  <c r="L359" i="19"/>
  <c r="M359" i="19" s="1"/>
  <c r="Y359" i="19"/>
  <c r="L217" i="19"/>
  <c r="M217" i="19" s="1"/>
  <c r="Y217" i="19"/>
  <c r="L441" i="19"/>
  <c r="M441" i="19" s="1"/>
  <c r="Y441" i="19"/>
  <c r="L442" i="19"/>
  <c r="M442" i="19" s="1"/>
  <c r="Y442" i="19"/>
  <c r="L435" i="19"/>
  <c r="M435" i="19" s="1"/>
  <c r="Y435" i="19"/>
  <c r="L436" i="19"/>
  <c r="M436" i="19" s="1"/>
  <c r="Y436" i="19"/>
  <c r="L45" i="19"/>
  <c r="M45" i="19" s="1"/>
  <c r="Y45" i="19"/>
  <c r="K46" i="19"/>
  <c r="Y46" i="19" s="1"/>
  <c r="L46" i="19"/>
  <c r="N46" i="19"/>
  <c r="L10" i="19"/>
  <c r="M10" i="19" s="1"/>
  <c r="Y10" i="19"/>
  <c r="L136" i="19"/>
  <c r="M136" i="19" s="1"/>
  <c r="Y136" i="19"/>
  <c r="L137" i="19"/>
  <c r="M137" i="19" s="1"/>
  <c r="Y137" i="19"/>
  <c r="L70" i="19"/>
  <c r="M70" i="19" s="1"/>
  <c r="Y70" i="19"/>
  <c r="L115" i="19"/>
  <c r="M115" i="19" s="1"/>
  <c r="Y115" i="19"/>
  <c r="L116" i="19"/>
  <c r="M116" i="19" s="1"/>
  <c r="Y116" i="19"/>
  <c r="L152" i="19"/>
  <c r="M152" i="19" s="1"/>
  <c r="Y152" i="19"/>
  <c r="L153" i="19"/>
  <c r="M153" i="19" s="1"/>
  <c r="Y153" i="19"/>
  <c r="L161" i="19"/>
  <c r="M161" i="19" s="1"/>
  <c r="Y161" i="19"/>
  <c r="L162" i="19"/>
  <c r="M162" i="19" s="1"/>
  <c r="Y162" i="19"/>
  <c r="L120" i="19"/>
  <c r="M120" i="19" s="1"/>
  <c r="Y120" i="19"/>
  <c r="L121" i="19"/>
  <c r="M121" i="19" s="1"/>
  <c r="Y121" i="19"/>
  <c r="L140" i="19"/>
  <c r="M140" i="19" s="1"/>
  <c r="Y140" i="19"/>
  <c r="L219" i="19"/>
  <c r="M219" i="19" s="1"/>
  <c r="Y219" i="19"/>
  <c r="M209" i="19"/>
  <c r="Y209" i="19"/>
  <c r="L151" i="19"/>
  <c r="M151" i="19" s="1"/>
  <c r="Y151" i="19"/>
  <c r="L2" i="19"/>
  <c r="M2" i="19" s="1"/>
  <c r="Y2" i="19"/>
  <c r="L3" i="19"/>
  <c r="M3" i="19" s="1"/>
  <c r="Y3" i="19"/>
  <c r="L15" i="19"/>
  <c r="M15" i="19" s="1"/>
  <c r="Y15" i="19"/>
  <c r="K16" i="19"/>
  <c r="Y16" i="19" s="1"/>
  <c r="N16" i="19"/>
  <c r="L16" i="19" s="1"/>
  <c r="L213" i="19"/>
  <c r="M213" i="19" s="1"/>
  <c r="Y213" i="19"/>
  <c r="L262" i="19"/>
  <c r="M262" i="19" s="1"/>
  <c r="Y262" i="19"/>
  <c r="L43" i="19"/>
  <c r="M43" i="19" s="1"/>
  <c r="Y43" i="19"/>
  <c r="K44" i="19"/>
  <c r="Y44" i="19" s="1"/>
  <c r="N44" i="19"/>
  <c r="L44" i="19" s="1"/>
  <c r="L438" i="19"/>
  <c r="M438" i="19" s="1"/>
  <c r="Y438" i="19"/>
  <c r="L453" i="19"/>
  <c r="M453" i="19" s="1"/>
  <c r="Y453" i="19"/>
  <c r="L454" i="19"/>
  <c r="M454" i="19" s="1"/>
  <c r="Y454" i="19"/>
  <c r="L443" i="19"/>
  <c r="M443" i="19" s="1"/>
  <c r="Y443" i="19"/>
  <c r="L393" i="19"/>
  <c r="M393" i="19" s="1"/>
  <c r="Y393" i="19"/>
  <c r="L394" i="19"/>
  <c r="M394" i="19" s="1"/>
  <c r="Y394" i="19"/>
  <c r="L321" i="19"/>
  <c r="Y321" i="19"/>
  <c r="L342" i="19"/>
  <c r="M342" i="19" s="1"/>
  <c r="Y342" i="19"/>
  <c r="L110" i="19"/>
  <c r="M110" i="19" s="1"/>
  <c r="Y110" i="19"/>
  <c r="K111" i="19"/>
  <c r="Y111" i="19" s="1"/>
  <c r="N111" i="19"/>
  <c r="L111" i="19" s="1"/>
  <c r="L122" i="19"/>
  <c r="M122" i="19" s="1"/>
  <c r="Y122" i="19"/>
  <c r="L123" i="19"/>
  <c r="M123" i="19" s="1"/>
  <c r="Y123" i="19"/>
  <c r="L124" i="19"/>
  <c r="M124" i="19" s="1"/>
  <c r="Y124" i="19"/>
  <c r="L81" i="19"/>
  <c r="M81" i="19" s="1"/>
  <c r="Y81" i="19"/>
  <c r="L450" i="19"/>
  <c r="M450" i="19" s="1"/>
  <c r="Y450" i="19"/>
  <c r="L234" i="19"/>
  <c r="M234" i="19" s="1"/>
  <c r="Y234" i="19"/>
  <c r="L235" i="19"/>
  <c r="M235" i="19" s="1"/>
  <c r="Y235" i="19"/>
  <c r="L236" i="19"/>
  <c r="M236" i="19" s="1"/>
  <c r="Y236" i="19"/>
  <c r="L279" i="19"/>
  <c r="M279" i="19" s="1"/>
  <c r="Y279" i="19"/>
  <c r="L280" i="19"/>
  <c r="M280" i="19" s="1"/>
  <c r="Y280" i="19"/>
  <c r="K409" i="19"/>
  <c r="Y409" i="19" s="1"/>
  <c r="N410" i="19"/>
  <c r="N409" i="19" s="1"/>
  <c r="Y410" i="19"/>
  <c r="L58" i="19"/>
  <c r="M58" i="19" s="1"/>
  <c r="Y58" i="19"/>
  <c r="L315" i="19"/>
  <c r="M315" i="19" s="1"/>
  <c r="Y315" i="19"/>
  <c r="K316" i="19"/>
  <c r="Y316" i="19" s="1"/>
  <c r="L316" i="19"/>
  <c r="N316" i="19"/>
  <c r="L147" i="19"/>
  <c r="M147" i="19" s="1"/>
  <c r="Y147" i="19"/>
  <c r="L148" i="19"/>
  <c r="M148" i="19" s="1"/>
  <c r="Y148" i="19"/>
  <c r="L48" i="19"/>
  <c r="M48" i="19" s="1"/>
  <c r="Y48" i="19"/>
  <c r="N49" i="19"/>
  <c r="M49" i="19" s="1"/>
  <c r="Y49" i="19"/>
  <c r="N50" i="19"/>
  <c r="L50" i="19" s="1"/>
  <c r="Y50" i="19"/>
  <c r="L211" i="19"/>
  <c r="M211" i="19" s="1"/>
  <c r="Y211" i="19"/>
  <c r="M13" i="19"/>
  <c r="Y13" i="19"/>
  <c r="K14" i="19"/>
  <c r="Y14" i="19" s="1"/>
  <c r="N14" i="19"/>
  <c r="M60" i="19"/>
  <c r="Y60" i="19"/>
  <c r="N61" i="19"/>
  <c r="M61" i="19" s="1"/>
  <c r="Y61" i="19"/>
  <c r="L230" i="19"/>
  <c r="M230" i="19" s="1"/>
  <c r="Y230" i="19"/>
  <c r="L231" i="19"/>
  <c r="M231" i="19" s="1"/>
  <c r="Y231" i="19"/>
  <c r="L349" i="19"/>
  <c r="M349" i="19" s="1"/>
  <c r="Y349" i="19"/>
  <c r="L350" i="19"/>
  <c r="N350" i="19"/>
  <c r="Y350" i="19"/>
  <c r="L149" i="19"/>
  <c r="M149" i="19" s="1"/>
  <c r="Y149" i="19"/>
  <c r="L384" i="19"/>
  <c r="M384" i="19" s="1"/>
  <c r="Y384" i="19"/>
  <c r="L382" i="19"/>
  <c r="M382" i="19" s="1"/>
  <c r="Y382" i="19"/>
  <c r="L383" i="19"/>
  <c r="M383" i="19" s="1"/>
  <c r="Y383" i="19"/>
  <c r="L265" i="19"/>
  <c r="M265" i="19" s="1"/>
  <c r="Y265" i="19"/>
  <c r="L275" i="19"/>
  <c r="M275" i="19" s="1"/>
  <c r="Y275" i="19"/>
  <c r="L274" i="19"/>
  <c r="M274" i="19" s="1"/>
  <c r="Y274" i="19"/>
  <c r="L304" i="19"/>
  <c r="M304" i="19" s="1"/>
  <c r="Y304" i="19"/>
  <c r="L305" i="19"/>
  <c r="M305" i="19" s="1"/>
  <c r="Y305" i="19"/>
  <c r="L398" i="19"/>
  <c r="M398" i="19" s="1"/>
  <c r="Y398" i="19"/>
  <c r="L357" i="19"/>
  <c r="M357" i="19" s="1"/>
  <c r="Y357" i="19"/>
  <c r="L340" i="19"/>
  <c r="M340" i="19" s="1"/>
  <c r="Y340" i="19"/>
  <c r="L341" i="19"/>
  <c r="M341" i="19" s="1"/>
  <c r="Y341" i="19"/>
  <c r="L378" i="19"/>
  <c r="M378" i="19" s="1"/>
  <c r="Y378" i="19"/>
  <c r="L399" i="19"/>
  <c r="M399" i="19" s="1"/>
  <c r="Y399" i="19"/>
  <c r="L400" i="19"/>
  <c r="M400" i="19" s="1"/>
  <c r="Y400" i="19"/>
  <c r="L455" i="19"/>
  <c r="M455" i="19" s="1"/>
  <c r="Y455" i="19"/>
  <c r="L127" i="19"/>
  <c r="M127" i="19" s="1"/>
  <c r="Y127" i="19"/>
  <c r="L128" i="19"/>
  <c r="M128" i="19" s="1"/>
  <c r="Y128" i="19"/>
  <c r="L227" i="19"/>
  <c r="M227" i="19" s="1"/>
  <c r="Y227" i="19"/>
  <c r="L401" i="19"/>
  <c r="Y401" i="19"/>
  <c r="L204" i="19"/>
  <c r="M204" i="19" s="1"/>
  <c r="Y204" i="19"/>
  <c r="K205" i="19"/>
  <c r="L205" i="19" s="1"/>
  <c r="N205" i="19"/>
  <c r="K84" i="19"/>
  <c r="K83" i="19" s="1"/>
  <c r="Y83" i="19" s="1"/>
  <c r="N84" i="19"/>
  <c r="N83" i="19" s="1"/>
  <c r="L360" i="19"/>
  <c r="M360" i="19" s="1"/>
  <c r="Y360" i="19"/>
  <c r="L144" i="19"/>
  <c r="M144" i="19" s="1"/>
  <c r="Y144" i="19"/>
  <c r="K145" i="19"/>
  <c r="Y145" i="19" s="1"/>
  <c r="N145" i="19"/>
  <c r="L145" i="19" s="1"/>
  <c r="L255" i="19"/>
  <c r="M255" i="19" s="1"/>
  <c r="Y255" i="19"/>
  <c r="L296" i="19"/>
  <c r="M296" i="19" s="1"/>
  <c r="Y296" i="19"/>
  <c r="L294" i="19"/>
  <c r="M294" i="19" s="1"/>
  <c r="Y294" i="19"/>
  <c r="L228" i="19"/>
  <c r="M228" i="19" s="1"/>
  <c r="Y228" i="19"/>
  <c r="L248" i="19"/>
  <c r="M248" i="19" s="1"/>
  <c r="Y248" i="19"/>
  <c r="L135" i="19"/>
  <c r="M135" i="19" s="1"/>
  <c r="Y135" i="19"/>
  <c r="L367" i="19"/>
  <c r="M367" i="19" s="1"/>
  <c r="Y367" i="19"/>
  <c r="L368" i="19"/>
  <c r="M368" i="19" s="1"/>
  <c r="Y368" i="19"/>
  <c r="L250" i="19"/>
  <c r="M250" i="19" s="1"/>
  <c r="Y250" i="19"/>
  <c r="L254" i="19"/>
  <c r="M254" i="19" s="1"/>
  <c r="Y254" i="19"/>
  <c r="L355" i="19"/>
  <c r="M355" i="19" s="1"/>
  <c r="Y355" i="19"/>
  <c r="L356" i="19"/>
  <c r="M356" i="19" s="1"/>
  <c r="Y356" i="19"/>
  <c r="L221" i="19"/>
  <c r="M221" i="19" s="1"/>
  <c r="Y221" i="19"/>
  <c r="L222" i="19"/>
  <c r="M222" i="19" s="1"/>
  <c r="Y222" i="19"/>
  <c r="L223" i="19"/>
  <c r="M223" i="19" s="1"/>
  <c r="Y223" i="19"/>
  <c r="L224" i="19"/>
  <c r="M224" i="19" s="1"/>
  <c r="Y224" i="19"/>
  <c r="L183" i="19"/>
  <c r="M183" i="19" s="1"/>
  <c r="Y183" i="19"/>
  <c r="L184" i="19"/>
  <c r="M184" i="19" s="1"/>
  <c r="Y184" i="19"/>
  <c r="L185" i="19"/>
  <c r="M185" i="19" s="1"/>
  <c r="Y185" i="19"/>
  <c r="L186" i="19"/>
  <c r="M186" i="19" s="1"/>
  <c r="Y186" i="19"/>
  <c r="L388" i="19"/>
  <c r="M388" i="19" s="1"/>
  <c r="Y388" i="19"/>
  <c r="L389" i="19"/>
  <c r="M389" i="19" s="1"/>
  <c r="Y389" i="19"/>
  <c r="L168" i="19"/>
  <c r="M168" i="19" s="1"/>
  <c r="Y168" i="19"/>
  <c r="L169" i="19"/>
  <c r="M169" i="19" s="1"/>
  <c r="Y169" i="19"/>
  <c r="L220" i="19"/>
  <c r="M220" i="19" s="1"/>
  <c r="Y220" i="19"/>
  <c r="L313" i="19"/>
  <c r="M313" i="19" s="1"/>
  <c r="Y313" i="19"/>
  <c r="L68" i="19"/>
  <c r="M68" i="19" s="1"/>
  <c r="Y68" i="19"/>
  <c r="L290" i="19"/>
  <c r="M290" i="19" s="1"/>
  <c r="Y290" i="19"/>
  <c r="M429" i="19"/>
  <c r="Y429" i="19"/>
  <c r="M430" i="19"/>
  <c r="Y430" i="19"/>
  <c r="L271" i="19"/>
  <c r="M271" i="19" s="1"/>
  <c r="Y271" i="19"/>
  <c r="L446" i="19"/>
  <c r="Y446" i="19"/>
  <c r="L447" i="19"/>
  <c r="Y447" i="19"/>
  <c r="L229" i="19"/>
  <c r="M229" i="19" s="1"/>
  <c r="Y229" i="19"/>
  <c r="L395" i="19"/>
  <c r="M395" i="19" s="1"/>
  <c r="Y395" i="19"/>
  <c r="L371" i="19"/>
  <c r="M371" i="19" s="1"/>
  <c r="Y371" i="19"/>
  <c r="L372" i="19"/>
  <c r="M372" i="19" s="1"/>
  <c r="Y372" i="19"/>
  <c r="L237" i="19"/>
  <c r="M237" i="19" s="1"/>
  <c r="Y237" i="19"/>
  <c r="L154" i="19"/>
  <c r="M154" i="19" s="1"/>
  <c r="Y154" i="19"/>
  <c r="L155" i="19"/>
  <c r="M155" i="19" s="1"/>
  <c r="Y155" i="19"/>
  <c r="L107" i="19"/>
  <c r="M107" i="19" s="1"/>
  <c r="Y107" i="19"/>
  <c r="L108" i="19"/>
  <c r="M108" i="19" s="1"/>
  <c r="Y108" i="19"/>
  <c r="L167" i="19"/>
  <c r="M167" i="19" s="1"/>
  <c r="Y167" i="19"/>
  <c r="L214" i="19"/>
  <c r="M214" i="19" s="1"/>
  <c r="Y214" i="19"/>
  <c r="L353" i="19"/>
  <c r="M353" i="19" s="1"/>
  <c r="Y353" i="19"/>
  <c r="L354" i="19"/>
  <c r="M354" i="19" s="1"/>
  <c r="Y354" i="19"/>
  <c r="L308" i="19"/>
  <c r="M308" i="19" s="1"/>
  <c r="Y308" i="19"/>
  <c r="L309" i="19"/>
  <c r="M309" i="19" s="1"/>
  <c r="Y309" i="19"/>
  <c r="L24" i="19"/>
  <c r="M24" i="19" s="1"/>
  <c r="Y24" i="19"/>
  <c r="L25" i="19"/>
  <c r="M25" i="19" s="1"/>
  <c r="Y25" i="19"/>
  <c r="L22" i="19"/>
  <c r="M22" i="19" s="1"/>
  <c r="Y22" i="19"/>
  <c r="L23" i="19"/>
  <c r="M23" i="19" s="1"/>
  <c r="Y23" i="19"/>
  <c r="L288" i="19"/>
  <c r="M288" i="19" s="1"/>
  <c r="Y288" i="19"/>
  <c r="L289" i="19"/>
  <c r="M289" i="19" s="1"/>
  <c r="Y289" i="19"/>
  <c r="L17" i="19"/>
  <c r="M17" i="19" s="1"/>
  <c r="Y17" i="19"/>
  <c r="L18" i="19"/>
  <c r="M18" i="19" s="1"/>
  <c r="Y18" i="19"/>
  <c r="L19" i="19"/>
  <c r="M19" i="19" s="1"/>
  <c r="Y19" i="19"/>
  <c r="L20" i="19"/>
  <c r="M20" i="19" s="1"/>
  <c r="Y20" i="19"/>
  <c r="L376" i="19"/>
  <c r="M376" i="19" s="1"/>
  <c r="Y376" i="19"/>
  <c r="L377" i="19"/>
  <c r="M377" i="19" s="1"/>
  <c r="Y377" i="19"/>
  <c r="L119" i="19"/>
  <c r="M119" i="19" s="1"/>
  <c r="Y119" i="19"/>
  <c r="L9" i="19"/>
  <c r="M9" i="19" s="1"/>
  <c r="Y9" i="19"/>
  <c r="K464" i="19"/>
  <c r="L464" i="19"/>
  <c r="N465" i="19"/>
  <c r="L465" i="19" s="1"/>
  <c r="L269" i="19"/>
  <c r="M269" i="19" s="1"/>
  <c r="Y269" i="19"/>
  <c r="L270" i="19"/>
  <c r="M270" i="19" s="1"/>
  <c r="Y270" i="19"/>
  <c r="L295" i="19"/>
  <c r="M295" i="19" s="1"/>
  <c r="Y295" i="19"/>
  <c r="L71" i="19"/>
  <c r="M71" i="19" s="1"/>
  <c r="Y71" i="19"/>
  <c r="L322" i="19"/>
  <c r="M322" i="19" s="1"/>
  <c r="Y322" i="19"/>
  <c r="L323" i="19"/>
  <c r="M323" i="19" s="1"/>
  <c r="Y323" i="19"/>
  <c r="L26" i="19"/>
  <c r="M26" i="19" s="1"/>
  <c r="Y26" i="19"/>
  <c r="L27" i="19"/>
  <c r="M27" i="19" s="1"/>
  <c r="Y27" i="19"/>
  <c r="L28" i="19"/>
  <c r="M28" i="19" s="1"/>
  <c r="Y28" i="19"/>
  <c r="L29" i="19"/>
  <c r="M29" i="19" s="1"/>
  <c r="Y29" i="19"/>
  <c r="L411" i="19"/>
  <c r="M411" i="19" s="1"/>
  <c r="Y411" i="19"/>
  <c r="L272" i="19"/>
  <c r="M272" i="19" s="1"/>
  <c r="Y272" i="19"/>
  <c r="L273" i="19"/>
  <c r="M273" i="19" s="1"/>
  <c r="Y273" i="19"/>
  <c r="L30" i="19"/>
  <c r="M30" i="19" s="1"/>
  <c r="Y30" i="19"/>
  <c r="L31" i="19"/>
  <c r="M31" i="19" s="1"/>
  <c r="Y31" i="19"/>
  <c r="L32" i="19"/>
  <c r="M32" i="19" s="1"/>
  <c r="Y32" i="19"/>
  <c r="L33" i="19"/>
  <c r="M33" i="19" s="1"/>
  <c r="Y33" i="19"/>
  <c r="L373" i="19"/>
  <c r="M373" i="19" s="1"/>
  <c r="Y373" i="19"/>
  <c r="L374" i="19"/>
  <c r="M374" i="19" s="1"/>
  <c r="Y374" i="19"/>
  <c r="L99" i="19"/>
  <c r="M99" i="19" s="1"/>
  <c r="Y99" i="19"/>
  <c r="L335" i="19"/>
  <c r="Y335" i="19"/>
  <c r="L336" i="19"/>
  <c r="M336" i="19" s="1"/>
  <c r="Y336" i="19"/>
  <c r="L238" i="19"/>
  <c r="M238" i="19" s="1"/>
  <c r="Y238" i="19"/>
  <c r="L239" i="19"/>
  <c r="M239" i="19" s="1"/>
  <c r="Y239" i="19"/>
  <c r="L431" i="19"/>
  <c r="M431" i="19" s="1"/>
  <c r="Y431" i="19"/>
  <c r="K432" i="19"/>
  <c r="Y432" i="19" s="1"/>
  <c r="N432" i="19"/>
  <c r="L432" i="19" s="1"/>
  <c r="L396" i="19"/>
  <c r="M396" i="19" s="1"/>
  <c r="Y396" i="19"/>
  <c r="L397" i="19"/>
  <c r="M397" i="19" s="1"/>
  <c r="Y397" i="19"/>
  <c r="L346" i="19"/>
  <c r="M346" i="19" s="1"/>
  <c r="Y346" i="19"/>
  <c r="L347" i="19"/>
  <c r="M347" i="19" s="1"/>
  <c r="Y347" i="19"/>
  <c r="L344" i="19"/>
  <c r="M344" i="19" s="1"/>
  <c r="Y344" i="19"/>
  <c r="K345" i="19"/>
  <c r="Y345" i="19" s="1"/>
  <c r="L345" i="19"/>
  <c r="L462" i="19"/>
  <c r="M462" i="19" s="1"/>
  <c r="Y462" i="19"/>
  <c r="L463" i="19"/>
  <c r="M463" i="19" s="1"/>
  <c r="Y463" i="19"/>
  <c r="L433" i="19"/>
  <c r="M433" i="19" s="1"/>
  <c r="Y433" i="19"/>
  <c r="L434" i="19"/>
  <c r="M434" i="19" s="1"/>
  <c r="Y434" i="19"/>
  <c r="L437" i="19"/>
  <c r="M437" i="19" s="1"/>
  <c r="Y437" i="19"/>
  <c r="L363" i="19"/>
  <c r="M363" i="19" s="1"/>
  <c r="Y363" i="19"/>
  <c r="L364" i="19"/>
  <c r="M364" i="19" s="1"/>
  <c r="Y364" i="19"/>
  <c r="L427" i="19"/>
  <c r="M427" i="19" s="1"/>
  <c r="Y427" i="19"/>
  <c r="L428" i="19"/>
  <c r="M428" i="19" s="1"/>
  <c r="Y428" i="19"/>
  <c r="L102" i="19"/>
  <c r="M102" i="19" s="1"/>
  <c r="Y102" i="19"/>
  <c r="N103" i="19"/>
  <c r="M103" i="19" s="1"/>
  <c r="Y103" i="19"/>
  <c r="L73" i="19"/>
  <c r="M73" i="19" s="1"/>
  <c r="Y73" i="19"/>
  <c r="L215" i="19"/>
  <c r="M215" i="19" s="1"/>
  <c r="Y215" i="19"/>
  <c r="L216" i="19"/>
  <c r="M216" i="19" s="1"/>
  <c r="Y216" i="19"/>
  <c r="L257" i="19"/>
  <c r="M257" i="19" s="1"/>
  <c r="Y257" i="19"/>
  <c r="L258" i="19"/>
  <c r="M258" i="19" s="1"/>
  <c r="Y258" i="19"/>
  <c r="L334" i="19"/>
  <c r="M334" i="19" s="1"/>
  <c r="Y334" i="19"/>
  <c r="L75" i="19"/>
  <c r="M75" i="19" s="1"/>
  <c r="Y75" i="19"/>
  <c r="L76" i="19"/>
  <c r="M76" i="19" s="1"/>
  <c r="Y76" i="19"/>
  <c r="L413" i="19"/>
  <c r="M413" i="19" s="1"/>
  <c r="Y413" i="19"/>
  <c r="L414" i="19"/>
  <c r="M414" i="19" s="1"/>
  <c r="Y414" i="19"/>
  <c r="L422" i="19"/>
  <c r="M422" i="19" s="1"/>
  <c r="Y422" i="19"/>
  <c r="L47" i="19"/>
  <c r="M47" i="19" s="1"/>
  <c r="Y47" i="19"/>
  <c r="L163" i="19"/>
  <c r="Y163" i="19"/>
  <c r="K164" i="19"/>
  <c r="Y164" i="19" s="1"/>
  <c r="N164" i="19"/>
  <c r="L164" i="19" s="1"/>
  <c r="L165" i="19"/>
  <c r="Y165" i="19"/>
  <c r="L166" i="19"/>
  <c r="M166" i="19" s="1"/>
  <c r="Y166" i="19"/>
  <c r="L160" i="19"/>
  <c r="M160" i="19" s="1"/>
  <c r="Y160" i="19"/>
  <c r="L180" i="19"/>
  <c r="M180" i="19" s="1"/>
  <c r="Y180" i="19"/>
  <c r="L181" i="19"/>
  <c r="M181" i="19" s="1"/>
  <c r="Y181" i="19"/>
  <c r="L182" i="19"/>
  <c r="M182" i="19" s="1"/>
  <c r="Y182" i="19"/>
  <c r="L475" i="19"/>
  <c r="M475" i="19" s="1"/>
  <c r="Y475" i="19"/>
  <c r="L476" i="19"/>
  <c r="M476" i="19" s="1"/>
  <c r="Y476" i="19"/>
  <c r="L477" i="19"/>
  <c r="M477" i="19" s="1"/>
  <c r="Y477" i="19"/>
  <c r="L439" i="19"/>
  <c r="M439" i="19" s="1"/>
  <c r="Y439" i="19"/>
  <c r="L440" i="19"/>
  <c r="M440" i="19" s="1"/>
  <c r="Y440" i="19"/>
  <c r="L301" i="19"/>
  <c r="M301" i="19" s="1"/>
  <c r="Y301" i="19"/>
  <c r="N302" i="19"/>
  <c r="L302" i="19" s="1"/>
  <c r="M302" i="19" s="1"/>
  <c r="Y302" i="19"/>
  <c r="L170" i="19"/>
  <c r="M170" i="19" s="1"/>
  <c r="Y170" i="19"/>
  <c r="L171" i="19"/>
  <c r="M171" i="19" s="1"/>
  <c r="Y171" i="19"/>
  <c r="L200" i="19"/>
  <c r="M200" i="19" s="1"/>
  <c r="Y200" i="19"/>
  <c r="L11" i="19"/>
  <c r="M11" i="19" s="1"/>
  <c r="Y11" i="19"/>
  <c r="L12" i="19"/>
  <c r="M12" i="19" s="1"/>
  <c r="Y12" i="19"/>
  <c r="L34" i="19"/>
  <c r="M34" i="19" s="1"/>
  <c r="Y34" i="19"/>
  <c r="L351" i="19"/>
  <c r="M351" i="19" s="1"/>
  <c r="Y351" i="19"/>
  <c r="L352" i="19"/>
  <c r="M352" i="19" s="1"/>
  <c r="Y352" i="19"/>
  <c r="L267" i="19"/>
  <c r="Y267" i="19"/>
  <c r="L268" i="19"/>
  <c r="M268" i="19" s="1"/>
  <c r="Y268" i="19"/>
  <c r="L418" i="19"/>
  <c r="M418" i="19" s="1"/>
  <c r="Y418" i="19"/>
  <c r="L419" i="19"/>
  <c r="M419" i="19" s="1"/>
  <c r="Y419" i="19"/>
  <c r="L423" i="19"/>
  <c r="M423" i="19" s="1"/>
  <c r="Y423" i="19"/>
  <c r="K424" i="19"/>
  <c r="Y424" i="19" s="1"/>
  <c r="L424" i="19"/>
  <c r="L157" i="19"/>
  <c r="M157" i="19" s="1"/>
  <c r="Y157" i="19"/>
  <c r="L158" i="19"/>
  <c r="M158" i="19" s="1"/>
  <c r="Y158" i="19"/>
  <c r="L263" i="19"/>
  <c r="M263" i="19" s="1"/>
  <c r="Y263" i="19"/>
  <c r="L264" i="19"/>
  <c r="M264" i="19" s="1"/>
  <c r="Y264" i="19"/>
  <c r="L172" i="19"/>
  <c r="M172" i="19" s="1"/>
  <c r="Y172" i="19"/>
  <c r="L173" i="19"/>
  <c r="M173" i="19" s="1"/>
  <c r="Y173" i="19"/>
  <c r="L174" i="19"/>
  <c r="M174" i="19" s="1"/>
  <c r="Y174" i="19"/>
  <c r="K175" i="19"/>
  <c r="Y175" i="19" s="1"/>
  <c r="N175" i="19"/>
  <c r="L175" i="19" s="1"/>
  <c r="L469" i="19"/>
  <c r="M469" i="19" s="1"/>
  <c r="Y469" i="19"/>
  <c r="L470" i="19"/>
  <c r="M470" i="19" s="1"/>
  <c r="Y470" i="19"/>
  <c r="L278" i="19"/>
  <c r="M278" i="19" s="1"/>
  <c r="Y278" i="19"/>
  <c r="M177" i="19"/>
  <c r="Y177" i="19"/>
  <c r="M178" i="19"/>
  <c r="Y178" i="19"/>
  <c r="L314" i="19"/>
  <c r="M314" i="19" s="1"/>
  <c r="Y314" i="19"/>
  <c r="L37" i="19"/>
  <c r="M37" i="19" s="1"/>
  <c r="Y37" i="19"/>
  <c r="K38" i="19"/>
  <c r="L38" i="19"/>
  <c r="L156" i="19"/>
  <c r="M156" i="19" s="1"/>
  <c r="Y156" i="19"/>
  <c r="M283" i="19" l="1"/>
  <c r="M14" i="19"/>
  <c r="Y40" i="19"/>
  <c r="M424" i="19"/>
  <c r="M114" i="19"/>
  <c r="M134" i="19"/>
  <c r="Y84" i="19"/>
  <c r="M90" i="19"/>
  <c r="L56" i="19"/>
  <c r="M56" i="19" s="1"/>
  <c r="M40" i="19"/>
  <c r="M38" i="19"/>
  <c r="M89" i="19"/>
  <c r="M53" i="19"/>
  <c r="M316" i="19"/>
  <c r="M46" i="19"/>
  <c r="M111" i="19"/>
  <c r="M464" i="19"/>
  <c r="M205" i="19"/>
  <c r="M50" i="19"/>
  <c r="M345" i="19"/>
  <c r="M86" i="19"/>
  <c r="M350" i="19"/>
  <c r="M55" i="19"/>
  <c r="M83" i="19"/>
  <c r="L409" i="19"/>
  <c r="M409" i="19" s="1"/>
  <c r="M381" i="19"/>
  <c r="Y38" i="19"/>
  <c r="M145" i="19"/>
  <c r="L410" i="19"/>
  <c r="M410" i="19" s="1"/>
  <c r="M404" i="19"/>
  <c r="M408" i="19"/>
  <c r="M175" i="19"/>
  <c r="Y205" i="19"/>
  <c r="M206" i="19"/>
  <c r="M432" i="19"/>
  <c r="M358" i="19"/>
  <c r="M420" i="19"/>
  <c r="K465" i="19"/>
  <c r="Y465" i="19" s="1"/>
  <c r="M84" i="19"/>
  <c r="M16" i="19"/>
  <c r="Y381" i="19"/>
  <c r="Y53" i="19"/>
  <c r="M7" i="19"/>
  <c r="M5" i="19"/>
  <c r="M129" i="19"/>
  <c r="Y464" i="19"/>
  <c r="M44" i="19"/>
  <c r="M416" i="19"/>
  <c r="M465" i="19" l="1"/>
  <c r="P100" i="18"/>
  <c r="P99" i="18"/>
  <c r="Q96" i="18"/>
  <c r="N96" i="18"/>
  <c r="P96" i="18" s="1"/>
  <c r="N95" i="18"/>
  <c r="P95" i="18" s="1"/>
  <c r="Q94" i="18"/>
  <c r="P94" i="18"/>
  <c r="Q93" i="18"/>
  <c r="N93" i="18"/>
  <c r="P93" i="18" s="1"/>
  <c r="N92" i="18"/>
  <c r="Q92" i="18" s="1"/>
  <c r="Q91" i="18"/>
  <c r="P91" i="18"/>
  <c r="N91" i="18"/>
  <c r="N90" i="18"/>
  <c r="Q90" i="18" s="1"/>
  <c r="N89" i="18"/>
  <c r="Q89" i="18" s="1"/>
  <c r="Q88" i="18"/>
  <c r="P88" i="18"/>
  <c r="N87" i="18"/>
  <c r="Q87" i="18" s="1"/>
  <c r="N86" i="18"/>
  <c r="Q86" i="18" s="1"/>
  <c r="Q85" i="18"/>
  <c r="P85" i="18"/>
  <c r="N85" i="18"/>
  <c r="N80" i="18"/>
  <c r="P80" i="18" s="1"/>
  <c r="Q81" i="18"/>
  <c r="P81" i="18"/>
  <c r="Q82" i="18"/>
  <c r="P82" i="18"/>
  <c r="N82" i="18"/>
  <c r="N78" i="18"/>
  <c r="Q78" i="18" s="1"/>
  <c r="R78" i="18" s="1"/>
  <c r="Q83" i="18"/>
  <c r="P83" i="18"/>
  <c r="N83" i="18"/>
  <c r="N79" i="18"/>
  <c r="Q79" i="18" s="1"/>
  <c r="N77" i="18"/>
  <c r="Q77" i="18" s="1"/>
  <c r="Q76" i="18"/>
  <c r="P76" i="18"/>
  <c r="N76" i="18"/>
  <c r="P74" i="18"/>
  <c r="P73" i="18"/>
  <c r="N72" i="18"/>
  <c r="P72" i="18" s="1"/>
  <c r="Q71" i="18"/>
  <c r="P71" i="18"/>
  <c r="N71" i="18"/>
  <c r="Q70" i="18"/>
  <c r="P70" i="18"/>
  <c r="Q69" i="18"/>
  <c r="P69" i="18"/>
  <c r="Q68" i="18"/>
  <c r="P68" i="18"/>
  <c r="Q67" i="18"/>
  <c r="P67" i="18"/>
  <c r="Q66" i="18"/>
  <c r="P66" i="18"/>
  <c r="Q65" i="18"/>
  <c r="P65" i="18"/>
  <c r="Q64" i="18"/>
  <c r="P64" i="18"/>
  <c r="Q63" i="18"/>
  <c r="N63" i="18"/>
  <c r="P63" i="18" s="1"/>
  <c r="Q62" i="18"/>
  <c r="P62" i="18"/>
  <c r="Q61" i="18"/>
  <c r="P61" i="18"/>
  <c r="P60" i="18"/>
  <c r="P59" i="18"/>
  <c r="P50" i="18"/>
  <c r="P49" i="18"/>
  <c r="P48" i="18"/>
  <c r="P47" i="18"/>
  <c r="N45" i="18"/>
  <c r="Q45" i="18" s="1"/>
  <c r="Q44" i="18"/>
  <c r="P44" i="18"/>
  <c r="N42" i="18"/>
  <c r="Q42" i="18" s="1"/>
  <c r="P42" i="18" s="1"/>
  <c r="Q41" i="18"/>
  <c r="P41" i="18" s="1"/>
  <c r="Q40" i="18"/>
  <c r="P40" i="18" s="1"/>
  <c r="Q38" i="18"/>
  <c r="P38" i="18" s="1"/>
  <c r="Q37" i="18"/>
  <c r="P37" i="18"/>
  <c r="Q36" i="18"/>
  <c r="P36" i="18" s="1"/>
  <c r="Q35" i="18"/>
  <c r="P35" i="18" s="1"/>
  <c r="Q34" i="18"/>
  <c r="P34" i="18" s="1"/>
  <c r="Q33" i="18"/>
  <c r="P33" i="18" s="1"/>
  <c r="N32" i="18"/>
  <c r="Q32" i="18" s="1"/>
  <c r="P32" i="18" s="1"/>
  <c r="Q31" i="18"/>
  <c r="P31" i="18" s="1"/>
  <c r="Q30" i="18"/>
  <c r="P30" i="18"/>
  <c r="Q29" i="18"/>
  <c r="P29" i="18" s="1"/>
  <c r="Q28" i="18"/>
  <c r="P28" i="18" s="1"/>
  <c r="Q27" i="18"/>
  <c r="P27" i="18" s="1"/>
  <c r="N26" i="18"/>
  <c r="Q26" i="18" s="1"/>
  <c r="P26" i="18" s="1"/>
  <c r="N25" i="18"/>
  <c r="Q25" i="18" s="1"/>
  <c r="P25" i="18" s="1"/>
  <c r="Q24" i="18"/>
  <c r="P24" i="18" s="1"/>
  <c r="Q23" i="18"/>
  <c r="P23" i="18" s="1"/>
  <c r="Q22" i="18"/>
  <c r="P22" i="18" s="1"/>
  <c r="Q21" i="18"/>
  <c r="P21" i="18"/>
  <c r="Q20" i="18"/>
  <c r="P20" i="18" s="1"/>
  <c r="Q19" i="18"/>
  <c r="P19" i="18"/>
  <c r="Q18" i="18"/>
  <c r="P18" i="18"/>
  <c r="Q17" i="18"/>
  <c r="P17" i="18" s="1"/>
  <c r="Q16" i="18"/>
  <c r="P16" i="18" s="1"/>
  <c r="Q15" i="18"/>
  <c r="P15" i="18" s="1"/>
  <c r="Q14" i="18"/>
  <c r="P14" i="18" s="1"/>
  <c r="Q13" i="18"/>
  <c r="P13" i="18" s="1"/>
  <c r="Q12" i="18"/>
  <c r="P12" i="18" s="1"/>
  <c r="Q11" i="18"/>
  <c r="P11" i="18" s="1"/>
  <c r="Q10" i="18"/>
  <c r="P10" i="18"/>
  <c r="Q9" i="18"/>
  <c r="P9" i="18"/>
  <c r="Q8" i="18"/>
  <c r="P8" i="18" s="1"/>
  <c r="Q7" i="18"/>
  <c r="P7" i="18"/>
  <c r="Q6" i="18"/>
  <c r="P6" i="18" s="1"/>
  <c r="Q5" i="18"/>
  <c r="P5" i="18" s="1"/>
  <c r="Q4" i="18"/>
  <c r="P4" i="18" s="1"/>
  <c r="P45" i="18" l="1"/>
  <c r="Q72" i="18"/>
  <c r="P92" i="18"/>
  <c r="Q95" i="18"/>
  <c r="P79" i="18"/>
  <c r="Q80" i="18"/>
  <c r="P87" i="18"/>
  <c r="P90" i="18"/>
  <c r="P77" i="18"/>
  <c r="P86" i="18"/>
  <c r="P89" i="18"/>
  <c r="P78" i="18"/>
  <c r="K181" i="16" l="1"/>
  <c r="J178" i="16"/>
  <c r="G159" i="16"/>
  <c r="F159" i="16"/>
  <c r="G144" i="16"/>
  <c r="F144" i="16"/>
  <c r="J140" i="16"/>
  <c r="G139" i="16"/>
  <c r="F139" i="16"/>
  <c r="J138" i="16"/>
  <c r="G138" i="16"/>
  <c r="F138" i="16"/>
  <c r="J137" i="16"/>
  <c r="K131" i="16"/>
  <c r="J124" i="16"/>
  <c r="J120" i="16"/>
  <c r="J115" i="16"/>
  <c r="I115" i="16"/>
  <c r="J101" i="16"/>
  <c r="K90" i="16"/>
  <c r="K89" i="16"/>
  <c r="J87" i="16"/>
  <c r="K74" i="16"/>
  <c r="K69" i="16"/>
  <c r="K55" i="16"/>
  <c r="J48" i="16"/>
  <c r="I41" i="16"/>
  <c r="H41" i="16"/>
  <c r="J28" i="16"/>
  <c r="G27" i="16"/>
  <c r="F27" i="16"/>
  <c r="I26" i="16"/>
  <c r="G26" i="16"/>
  <c r="I25" i="16"/>
  <c r="G25" i="16"/>
  <c r="G23" i="16"/>
  <c r="I16" i="16"/>
  <c r="G16" i="16"/>
  <c r="G13" i="16"/>
  <c r="F13" i="16"/>
  <c r="J12" i="16"/>
  <c r="J11" i="16"/>
  <c r="J181" i="16" s="1"/>
  <c r="G4" i="16"/>
  <c r="F4" i="16"/>
  <c r="L2" i="3" l="1"/>
  <c r="L24" i="3"/>
  <c r="L22" i="3"/>
  <c r="L21" i="3"/>
  <c r="L98" i="3"/>
  <c r="L40" i="3"/>
  <c r="L155" i="3"/>
  <c r="L165" i="3"/>
  <c r="L27" i="3"/>
  <c r="L51" i="3"/>
  <c r="L39" i="3"/>
  <c r="L71" i="3"/>
  <c r="L77" i="3"/>
  <c r="L70" i="3"/>
  <c r="L69" i="3"/>
  <c r="L68" i="3"/>
  <c r="L65" i="3"/>
  <c r="L64" i="3"/>
  <c r="L126" i="3"/>
  <c r="L139" i="3"/>
  <c r="L26" i="3"/>
  <c r="L132" i="3"/>
  <c r="L4" i="3"/>
  <c r="L3" i="3"/>
  <c r="L173" i="3"/>
  <c r="L118" i="3"/>
  <c r="L135" i="3"/>
  <c r="L63" i="3"/>
  <c r="L157" i="3"/>
  <c r="L127" i="3"/>
  <c r="L61" i="3"/>
  <c r="L86" i="3"/>
  <c r="L85" i="3"/>
  <c r="L87" i="3"/>
  <c r="L99" i="3"/>
  <c r="L100" i="3"/>
  <c r="L102" i="3"/>
  <c r="L185" i="3"/>
  <c r="L186" i="3"/>
  <c r="L44" i="3"/>
  <c r="L46" i="3"/>
  <c r="L45" i="3"/>
  <c r="L184" i="3"/>
  <c r="L164" i="3"/>
  <c r="L32" i="3"/>
  <c r="L59" i="3"/>
  <c r="L125" i="3"/>
  <c r="L152" i="3"/>
  <c r="L154" i="3"/>
  <c r="L93" i="3"/>
  <c r="L92" i="3"/>
  <c r="L91" i="3"/>
  <c r="L128" i="3"/>
  <c r="L94" i="3"/>
  <c r="L140" i="3"/>
  <c r="L141" i="3"/>
  <c r="L8" i="3"/>
  <c r="L174" i="3"/>
  <c r="L6" i="3"/>
  <c r="L5" i="3"/>
  <c r="L49" i="3"/>
  <c r="L95" i="3"/>
  <c r="L144" i="3"/>
  <c r="L105" i="3"/>
  <c r="L167" i="3"/>
  <c r="L123" i="3"/>
  <c r="L178" i="3"/>
  <c r="L145" i="3"/>
  <c r="L129" i="3"/>
  <c r="L37" i="3"/>
  <c r="L60" i="3"/>
  <c r="L88" i="3"/>
  <c r="L89" i="3"/>
  <c r="L12" i="3"/>
  <c r="L11" i="3"/>
  <c r="L29" i="3"/>
  <c r="L134" i="3"/>
  <c r="L146" i="3"/>
  <c r="L74" i="3"/>
  <c r="L42" i="3"/>
  <c r="L147" i="3"/>
  <c r="L50" i="3"/>
  <c r="L78" i="3"/>
  <c r="L111" i="3"/>
  <c r="L176" i="3"/>
  <c r="L182" i="3"/>
  <c r="L180" i="3"/>
  <c r="L48" i="3"/>
  <c r="L96" i="3"/>
  <c r="L162" i="3"/>
  <c r="L160" i="3"/>
  <c r="L188" i="3"/>
  <c r="L187" i="3"/>
  <c r="L175" i="3"/>
  <c r="L189" i="3"/>
  <c r="L25" i="3"/>
  <c r="L170" i="3"/>
  <c r="L101" i="3"/>
  <c r="L58" i="3"/>
  <c r="L159" i="3"/>
  <c r="L158" i="3"/>
  <c r="L13" i="3"/>
  <c r="L14" i="3"/>
  <c r="L82" i="3"/>
  <c r="L183" i="3"/>
  <c r="L119" i="3"/>
  <c r="L67" i="3"/>
  <c r="L41" i="3"/>
  <c r="L83" i="3"/>
  <c r="L10" i="3"/>
  <c r="L149" i="3"/>
  <c r="L120" i="3"/>
  <c r="L57" i="3"/>
  <c r="L181" i="3"/>
  <c r="L156" i="3"/>
  <c r="L177" i="3"/>
  <c r="L179" i="3"/>
  <c r="L107" i="3"/>
  <c r="L62" i="3"/>
  <c r="L90" i="3"/>
  <c r="L150" i="3"/>
  <c r="L161" i="3"/>
  <c r="L137" i="3"/>
  <c r="L133" i="3"/>
  <c r="L7" i="3"/>
  <c r="L75" i="3"/>
  <c r="L116" i="3"/>
  <c r="L97" i="3"/>
  <c r="L169" i="3"/>
  <c r="L30" i="3"/>
  <c r="L81" i="3"/>
  <c r="L47" i="3"/>
  <c r="L35" i="3"/>
  <c r="L36" i="3"/>
  <c r="L15" i="3"/>
  <c r="L43" i="3"/>
  <c r="L163" i="3"/>
  <c r="L54" i="3"/>
  <c r="L53" i="3"/>
  <c r="L106" i="3"/>
  <c r="L79" i="3"/>
  <c r="L110" i="3"/>
  <c r="L114" i="3"/>
  <c r="L66" i="3"/>
  <c r="L9" i="3"/>
  <c r="L38" i="3"/>
  <c r="L76" i="3"/>
  <c r="L115" i="3"/>
  <c r="L84" i="3"/>
  <c r="L112" i="3"/>
  <c r="L73" i="3"/>
  <c r="L121" i="3"/>
  <c r="L80" i="3"/>
  <c r="L52" i="3"/>
  <c r="L103" i="3"/>
  <c r="L55" i="3"/>
  <c r="L56" i="3"/>
  <c r="L136" i="3"/>
  <c r="L130" i="3"/>
  <c r="L122" i="3"/>
  <c r="L23" i="3"/>
  <c r="L153" i="3"/>
  <c r="L151" i="3"/>
  <c r="L117" i="3"/>
  <c r="L142" i="3"/>
  <c r="L143" i="3"/>
  <c r="L138" i="3"/>
  <c r="L33" i="3"/>
  <c r="L34" i="3"/>
  <c r="L124" i="3"/>
  <c r="L171" i="3"/>
  <c r="L172" i="3"/>
  <c r="L131" i="3"/>
  <c r="L108" i="3"/>
  <c r="L166" i="3"/>
  <c r="L113" i="3"/>
  <c r="L16" i="3"/>
  <c r="L19" i="3"/>
  <c r="L18" i="3"/>
  <c r="L20" i="3"/>
  <c r="L72" i="3"/>
  <c r="L148" i="3"/>
  <c r="L31" i="3"/>
  <c r="L168" i="3"/>
  <c r="L28" i="3"/>
  <c r="L109" i="3"/>
  <c r="L17" i="3"/>
</calcChain>
</file>

<file path=xl/sharedStrings.xml><?xml version="1.0" encoding="utf-8"?>
<sst xmlns="http://schemas.openxmlformats.org/spreadsheetml/2006/main" count="25018" uniqueCount="4759">
  <si>
    <t>TIP ID</t>
  </si>
  <si>
    <t>State/Local</t>
  </si>
  <si>
    <t>Council</t>
  </si>
  <si>
    <t>Municipality or County</t>
  </si>
  <si>
    <t>Location</t>
  </si>
  <si>
    <t>Project Limits</t>
  </si>
  <si>
    <t>Phase</t>
  </si>
  <si>
    <t>Work</t>
  </si>
  <si>
    <t>TIP Fund Code</t>
  </si>
  <si>
    <t>FMIS Fund Code</t>
  </si>
  <si>
    <t xml:space="preserve">Federal (by Phase) Obligation </t>
  </si>
  <si>
    <t>Matching Funds</t>
  </si>
  <si>
    <t>State/Local Funds (non-matching) (by Phase)</t>
  </si>
  <si>
    <t>Total Funding (by Phase)</t>
  </si>
  <si>
    <t>IDOT Section #</t>
  </si>
  <si>
    <t>IDOT Job #</t>
  </si>
  <si>
    <t>Obligation or Change</t>
  </si>
  <si>
    <t>Notes</t>
  </si>
  <si>
    <t>Local</t>
  </si>
  <si>
    <t>Lake County</t>
  </si>
  <si>
    <t>Lake</t>
  </si>
  <si>
    <t>Kenosha Rd</t>
  </si>
  <si>
    <t>Fremont Center Rd Ext</t>
  </si>
  <si>
    <t>Delany Rd</t>
  </si>
  <si>
    <t>Winchester Rd</t>
  </si>
  <si>
    <t>OPlaine Rd</t>
  </si>
  <si>
    <t>Gilmer Rd</t>
  </si>
  <si>
    <t>Rollins Rd</t>
  </si>
  <si>
    <t>Peterson Rd</t>
  </si>
  <si>
    <t>Wadsworth Rd</t>
  </si>
  <si>
    <t>Aptakisic Rd</t>
  </si>
  <si>
    <t>IL Rte 120</t>
  </si>
  <si>
    <t>IL Rte 121</t>
  </si>
  <si>
    <t>IL Rte 122</t>
  </si>
  <si>
    <t>Petite Lake Rd</t>
  </si>
  <si>
    <t>Washington St</t>
  </si>
  <si>
    <t>Lewis Ave</t>
  </si>
  <si>
    <t>Old McHenry Rd</t>
  </si>
  <si>
    <t>Miller Rd</t>
  </si>
  <si>
    <t>IL Rte 137 Bike Path</t>
  </si>
  <si>
    <t>Fremeont Center Rd</t>
  </si>
  <si>
    <t>Various</t>
  </si>
  <si>
    <t>Hawley St</t>
  </si>
  <si>
    <t>Buffalo Grove Rd</t>
  </si>
  <si>
    <t>21st St to IL Rte 131</t>
  </si>
  <si>
    <t>IL Rte 60 TO Peterson Rd</t>
  </si>
  <si>
    <t>York House Rd to Wadsworth Rd</t>
  </si>
  <si>
    <t>at County LibCampus West Access Rd</t>
  </si>
  <si>
    <t>at Kennedy Dr</t>
  </si>
  <si>
    <t>at Midlothian Rd</t>
  </si>
  <si>
    <t>at CN RR at IL Rte 83</t>
  </si>
  <si>
    <t>at CN RR at IL Rte 84</t>
  </si>
  <si>
    <t>W of Alleghany Rd to Wof IL Rte 83</t>
  </si>
  <si>
    <t>W of Alleghany Rd to Wof IL Rte 84</t>
  </si>
  <si>
    <t>at US Rte 41</t>
  </si>
  <si>
    <t>at Kilbourne Rd</t>
  </si>
  <si>
    <t>IL Rte 83 to Buffalo Grove Rd</t>
  </si>
  <si>
    <t>Knight Ave to IL Rte 131</t>
  </si>
  <si>
    <t>Knight Ave to IL Rte 132</t>
  </si>
  <si>
    <t>Knight Ave to IL Rte 133</t>
  </si>
  <si>
    <t>IL Rte 59 TO Fairfield Rd</t>
  </si>
  <si>
    <t>Wadsworth Rd to IL Rt 173</t>
  </si>
  <si>
    <t>Hainesville Rd to Haryan Way</t>
  </si>
  <si>
    <t>Downtoan Long Grove</t>
  </si>
  <si>
    <t>at 29th St</t>
  </si>
  <si>
    <t>at Lewis Ave</t>
  </si>
  <si>
    <t>Kelsey Rd to US Rte 12</t>
  </si>
  <si>
    <t>DesPlaines River Trail to O'Plaine Rd</t>
  </si>
  <si>
    <t>Erhart Rd to Gilmer Rd</t>
  </si>
  <si>
    <t>at US 12</t>
  </si>
  <si>
    <t>Midlothian Rd to Seymour Ave</t>
  </si>
  <si>
    <t>IL Rte 22 to Deerfield Pkwy</t>
  </si>
  <si>
    <t>C</t>
  </si>
  <si>
    <t>ROW</t>
  </si>
  <si>
    <t>Resurfacing</t>
  </si>
  <si>
    <t>Intersection Improvement</t>
  </si>
  <si>
    <t>Roadway Expansion</t>
  </si>
  <si>
    <t>Road widening</t>
  </si>
  <si>
    <t>Road Reconstruction</t>
  </si>
  <si>
    <t>Road Modernization</t>
  </si>
  <si>
    <t>Bike Path</t>
  </si>
  <si>
    <t>EVP Installation</t>
  </si>
  <si>
    <t>Road Expansion</t>
  </si>
  <si>
    <t>MFT</t>
  </si>
  <si>
    <t>Transportation Sales Tax</t>
  </si>
  <si>
    <t>Matching Tax, MFT, Transportation Sales Tax</t>
  </si>
  <si>
    <t>Transportation Sales Tax, Bond Issues</t>
  </si>
  <si>
    <t>Transportation Sales Tax, Matching Tax, County Bridge</t>
  </si>
  <si>
    <t>County Bridge, Matching Tax</t>
  </si>
  <si>
    <t>Matching Tax</t>
  </si>
  <si>
    <t>State</t>
  </si>
  <si>
    <t>Cook County</t>
  </si>
  <si>
    <t>Diversey Ave., Fullerton Ave.</t>
  </si>
  <si>
    <t>Happ Rd.</t>
  </si>
  <si>
    <t>Kedzie Ave.</t>
  </si>
  <si>
    <t>Midlothian Tpk.</t>
  </si>
  <si>
    <t>Rosemont Transit Center</t>
  </si>
  <si>
    <t>Lake Cook Rd.</t>
  </si>
  <si>
    <t>Old Orchard Rd.</t>
  </si>
  <si>
    <t>Joe Orr Rd.</t>
  </si>
  <si>
    <t>75th Ave. to Harlem Ave., Webster St. to Harlem Ave.</t>
  </si>
  <si>
    <t>Elgin-O'Hare Western Access</t>
  </si>
  <si>
    <t>Winnetka Rd. to Willow Rd.</t>
  </si>
  <si>
    <t>City of Chicago</t>
  </si>
  <si>
    <t>At Milwaukee Ave. and Logan Blvd.</t>
  </si>
  <si>
    <t>Central Ave. to Pulaski Rd.</t>
  </si>
  <si>
    <t>Thornton Township</t>
  </si>
  <si>
    <t>I-90 and River Rd.</t>
  </si>
  <si>
    <t>North Cook County</t>
  </si>
  <si>
    <t>South Cook County</t>
  </si>
  <si>
    <t>Stoney Island Ave. to Torrence Ave.</t>
  </si>
  <si>
    <t>104th Ave., Crawford Ave., Francisco Ave., Ridgeland Ave.</t>
  </si>
  <si>
    <t>Arlington Heights Rd. to Elmhurst Rd.</t>
  </si>
  <si>
    <t>Oakton St. to Mango Ave., Mango Ave. to Central Ave., Central Ave. to Linder Ave., Parkside Ave. to Central Ave.</t>
  </si>
  <si>
    <t>Raupp Blvd. to Hastings Ln.</t>
  </si>
  <si>
    <t>Woods Dr. to Skokie Blvd.</t>
  </si>
  <si>
    <t>Torrence Ave. to Burnham Ave.</t>
  </si>
  <si>
    <t>EI</t>
  </si>
  <si>
    <t xml:space="preserve">EII </t>
  </si>
  <si>
    <t>Preliminary Engineering</t>
  </si>
  <si>
    <t>Corridor enhancement study</t>
  </si>
  <si>
    <t>Transit parking lot improvements</t>
  </si>
  <si>
    <t>New roadway construction, 4 lanes with median</t>
  </si>
  <si>
    <t>Reconstruction</t>
  </si>
  <si>
    <t>Modernization</t>
  </si>
  <si>
    <t>Maintenance</t>
  </si>
  <si>
    <t>Expansion</t>
  </si>
  <si>
    <t>Intersection improvement</t>
  </si>
  <si>
    <t xml:space="preserve">Local </t>
  </si>
  <si>
    <t>Dupage County</t>
  </si>
  <si>
    <t xml:space="preserve">Highland Ave </t>
  </si>
  <si>
    <t>Gary Ave from Lawrence Ave to Elgin O'Hare, St. Charles Rd from Gary Ave to Bloomington Rd</t>
  </si>
  <si>
    <t>75th St East of Plainfield Rd to IL 83, Belmont Rd from Ogden Ave to 63rd St, Hobson Rd from East Branch DuPage River to I-355, Maple Ave from Yackley Rd to IL 53</t>
  </si>
  <si>
    <t>Over Rt 56</t>
  </si>
  <si>
    <t>87th St and Lemont Rd, Glen Ellyn Rd near Army Trail Road, Diehl Rd west to Mill Street, Gary Ave from Scott Drive to Bloomingdale Fire Station, Gary Avenue from Schick Rd to 1400' South of Schick Rd</t>
  </si>
  <si>
    <t>Traffic Signal Upgrades</t>
  </si>
  <si>
    <t>Bridge Rehabiliation, Resurfacing</t>
  </si>
  <si>
    <t>Will County</t>
  </si>
  <si>
    <t>Dupage</t>
  </si>
  <si>
    <t>Arsenal Rd</t>
  </si>
  <si>
    <t>Wilmington-Peotone Rd</t>
  </si>
  <si>
    <t>Channahon-Minooka Rd</t>
  </si>
  <si>
    <t>Laraway Rd</t>
  </si>
  <si>
    <t xml:space="preserve">East Frontage Rd over Grant Creek </t>
  </si>
  <si>
    <t>over West Branch Forked Creek</t>
  </si>
  <si>
    <t>Over DuPae River</t>
  </si>
  <si>
    <t>Over West Fork, East Branch of Hickory Creek</t>
  </si>
  <si>
    <t>Construction</t>
  </si>
  <si>
    <t>Bridge Repair</t>
  </si>
  <si>
    <t>Kendall County</t>
  </si>
  <si>
    <t>Kane/Kendall</t>
  </si>
  <si>
    <t>Eldamain Rd</t>
  </si>
  <si>
    <t>Sherrill Rd</t>
  </si>
  <si>
    <t>Orchard Rd</t>
  </si>
  <si>
    <t>Schlapp Rd</t>
  </si>
  <si>
    <t>Plainfield Rd</t>
  </si>
  <si>
    <t>Menard to Galena</t>
  </si>
  <si>
    <t>Ashley Rd to O'brien</t>
  </si>
  <si>
    <t>Galena &amp; Catepillar</t>
  </si>
  <si>
    <t xml:space="preserve">South of IL 126 </t>
  </si>
  <si>
    <t>Grove Rd to Ridge Road</t>
  </si>
  <si>
    <t>Highpoint Rd to U.S. Route 34</t>
  </si>
  <si>
    <t>County Bridge</t>
  </si>
  <si>
    <t>Kane County</t>
  </si>
  <si>
    <t>Longmeadow Pkwy</t>
  </si>
  <si>
    <t>Dauberman Rd</t>
  </si>
  <si>
    <t>Longmeadow Pkwy Bridge Corridor</t>
  </si>
  <si>
    <t>West County Line Rd</t>
  </si>
  <si>
    <t>Randall Rd</t>
  </si>
  <si>
    <t>Silver Glen Rd</t>
  </si>
  <si>
    <t>IL 72 at Randall Rd</t>
  </si>
  <si>
    <t>Huntley Rd to Randall Rd</t>
  </si>
  <si>
    <t>to Granart Rd</t>
  </si>
  <si>
    <t>Randall d to IL 31</t>
  </si>
  <si>
    <t>Over Union Ditch</t>
  </si>
  <si>
    <t>at Sandy Creek</t>
  </si>
  <si>
    <t>over Otter Creek</t>
  </si>
  <si>
    <t>CE</t>
  </si>
  <si>
    <t>Construction Engineering</t>
  </si>
  <si>
    <t>Culvert Replacement</t>
  </si>
  <si>
    <t>McHenry County</t>
  </si>
  <si>
    <t>McHenry</t>
  </si>
  <si>
    <t>Garden Valley Rd</t>
  </si>
  <si>
    <t>Hunter Rd</t>
  </si>
  <si>
    <t>IL State Route 23 and I-90</t>
  </si>
  <si>
    <t>Lakewood Rd</t>
  </si>
  <si>
    <t>Millstream Road</t>
  </si>
  <si>
    <t>Countywide</t>
  </si>
  <si>
    <t>over north branch of Kishwaukee River</t>
  </si>
  <si>
    <t>over Little Beaver Creek</t>
  </si>
  <si>
    <t>Interchange at IL 23 and I-90</t>
  </si>
  <si>
    <t>Reed Road and Miller Road intersections</t>
  </si>
  <si>
    <t>over Kishwaukee River</t>
  </si>
  <si>
    <t>E2</t>
  </si>
  <si>
    <t>Local - MFT &amp; RTA Sales Tax</t>
  </si>
  <si>
    <t>Local - County Bridge</t>
  </si>
  <si>
    <t>Local - Matching &amp; County Option MFT</t>
  </si>
  <si>
    <t>Local -  Matching</t>
  </si>
  <si>
    <t>Local -  RTA Sales Tax</t>
  </si>
  <si>
    <t>Bond</t>
  </si>
  <si>
    <t>Cal-Sag Bridges</t>
  </si>
  <si>
    <t>Bridge Reconstruction</t>
  </si>
  <si>
    <t>Hintz Rd.</t>
  </si>
  <si>
    <t>Edens Frontage Rds. East &amp; West</t>
  </si>
  <si>
    <t>Project Type</t>
  </si>
  <si>
    <t>Project Classification</t>
  </si>
  <si>
    <t>Federal Funds</t>
  </si>
  <si>
    <t>Award Date</t>
  </si>
  <si>
    <t>12-16-0004</t>
  </si>
  <si>
    <t>Crest Hill</t>
  </si>
  <si>
    <t>Enterprise Dr</t>
  </si>
  <si>
    <t>Enterprise Dr To Division St</t>
  </si>
  <si>
    <t>EII</t>
  </si>
  <si>
    <t>Phase II Engineering</t>
  </si>
  <si>
    <t xml:space="preserve">Expansion </t>
  </si>
  <si>
    <t>12-12-0010</t>
  </si>
  <si>
    <t>New Lenox</t>
  </si>
  <si>
    <t>US 6 (Southwest Hwy)</t>
  </si>
  <si>
    <t>at Parker Rd</t>
  </si>
  <si>
    <t>Utility Adjustment</t>
  </si>
  <si>
    <t>State Reimburse</t>
  </si>
  <si>
    <t>Joliet, Elwood, Wilmington</t>
  </si>
  <si>
    <t>US 52/IL 53 (Chicago St)</t>
  </si>
  <si>
    <t>US 52 to Arsenal Rd</t>
  </si>
  <si>
    <t>State Only</t>
  </si>
  <si>
    <t>Road Maintenance</t>
  </si>
  <si>
    <t>District 1</t>
  </si>
  <si>
    <t>Miscellaneous</t>
  </si>
  <si>
    <t>Glencoe, Winnetka</t>
  </si>
  <si>
    <t>Sheridan Rd</t>
  </si>
  <si>
    <t>Lake Cook Rd to Winnetka Ave</t>
  </si>
  <si>
    <t>Materials Testing</t>
  </si>
  <si>
    <t>Shorewood, Joliet</t>
  </si>
  <si>
    <t>I-55</t>
  </si>
  <si>
    <t>Us 52 (Jefferson St) to Black Rd</t>
  </si>
  <si>
    <t>12-09-0116</t>
  </si>
  <si>
    <t>Channahon</t>
  </si>
  <si>
    <t>at US 6 (Eames St)</t>
  </si>
  <si>
    <t>1-75566-0510</t>
  </si>
  <si>
    <t>Chicago</t>
  </si>
  <si>
    <t>I-94</t>
  </si>
  <si>
    <t>at Stony Island Feeder</t>
  </si>
  <si>
    <t>Campton Hills</t>
  </si>
  <si>
    <t>Burlington Rd</t>
  </si>
  <si>
    <t>at IL 47</t>
  </si>
  <si>
    <t>Land Acquisition</t>
  </si>
  <si>
    <t>05-11-0002</t>
  </si>
  <si>
    <t>Berwyn</t>
  </si>
  <si>
    <t>Stanley Ave, Windsor Ave, Grove Ave, Oak Park Ave</t>
  </si>
  <si>
    <t>Stanley Ave &amp; Windsor Ave: Harlem Ave To Ridgeland Ave; Grove Ave: 32nd St To 34th St; Oak Park Ave: 31st St To 34th St</t>
  </si>
  <si>
    <t>St. Charles</t>
  </si>
  <si>
    <t>IL 31</t>
  </si>
  <si>
    <t>at Ferson Creek</t>
  </si>
  <si>
    <t>Pre-Acquisition Activity</t>
  </si>
  <si>
    <t>US 41</t>
  </si>
  <si>
    <t>at Lasalle St</t>
  </si>
  <si>
    <t>Chinatown Feeder</t>
  </si>
  <si>
    <t>Under I-90/94 (Dan Ryan Expwy)</t>
  </si>
  <si>
    <t>10-99-0003</t>
  </si>
  <si>
    <t>Gurnee</t>
  </si>
  <si>
    <t>US 41 (Skokie Hwy)</t>
  </si>
  <si>
    <t>At IL 132 (Under UP RR)</t>
  </si>
  <si>
    <t>US 41 (43rd St)</t>
  </si>
  <si>
    <t>at Lake Shore Dr</t>
  </si>
  <si>
    <t>Lansing</t>
  </si>
  <si>
    <t>I-80/I-94</t>
  </si>
  <si>
    <t>East of IL 83 (Torrence Ave)</t>
  </si>
  <si>
    <t>Noise Barriers</t>
  </si>
  <si>
    <t>01-04-0002</t>
  </si>
  <si>
    <t>35th St</t>
  </si>
  <si>
    <t>Over Lake Shore Dr</t>
  </si>
  <si>
    <t>I-94/I 90 (Kennedy Expwy)</t>
  </si>
  <si>
    <t>at Belmont Ave &amp; Kedzie Ave</t>
  </si>
  <si>
    <t>01-09-0032</t>
  </si>
  <si>
    <t>I-55 (Inbound - Stevenson Expwy)</t>
  </si>
  <si>
    <t>I-94 (Dan Ryan Expwy) To US 41 (Lake Shore Dr)</t>
  </si>
  <si>
    <t>06-12-0004</t>
  </si>
  <si>
    <t>Alsip, Chicago</t>
  </si>
  <si>
    <t>115th St</t>
  </si>
  <si>
    <t>at Pulaski Rd</t>
  </si>
  <si>
    <t>at IL 25, IL 31, And IL 62</t>
  </si>
  <si>
    <t>12-06-0041</t>
  </si>
  <si>
    <t>Romeoville</t>
  </si>
  <si>
    <t>at Weber Rd</t>
  </si>
  <si>
    <t>Orland Park</t>
  </si>
  <si>
    <t>US 6 (159th St)</t>
  </si>
  <si>
    <t>US 45 (96th Ave) To 94th Ave</t>
  </si>
  <si>
    <t>Bensenville</t>
  </si>
  <si>
    <t>IL 19 (Irving Park Rd)</t>
  </si>
  <si>
    <t>at York Rd</t>
  </si>
  <si>
    <t>12-13-0023</t>
  </si>
  <si>
    <t>Frankfort</t>
  </si>
  <si>
    <t>US 45 (96th Ave/Lagrange)</t>
  </si>
  <si>
    <t>at EJ&amp;E RR, 0.5 Miles South of Nebraska St</t>
  </si>
  <si>
    <t>Lake Villa</t>
  </si>
  <si>
    <t>IL 132 (Grand Ave)</t>
  </si>
  <si>
    <t>at Fairfield Rd</t>
  </si>
  <si>
    <t>01-02-0037</t>
  </si>
  <si>
    <t>Rosemont</t>
  </si>
  <si>
    <t>I-190 (Kennedy Expy)</t>
  </si>
  <si>
    <t>at I-190/294</t>
  </si>
  <si>
    <t>01-05-0002</t>
  </si>
  <si>
    <t>41st St</t>
  </si>
  <si>
    <t>01-08-0016</t>
  </si>
  <si>
    <t>Torrence Ave</t>
  </si>
  <si>
    <t>at Grand Calumet River</t>
  </si>
  <si>
    <t>01-09-0029</t>
  </si>
  <si>
    <t>I-94/I-90 (Dan Ryan Expwy)</t>
  </si>
  <si>
    <t>at 63rd St</t>
  </si>
  <si>
    <t>01-11-0010</t>
  </si>
  <si>
    <t>US 12/Us 45 (Mannheim Rd)</t>
  </si>
  <si>
    <t>I-190 (Kennedy Expy) To IL 19 (Irving Park Rd)</t>
  </si>
  <si>
    <t>IL 72 (Higgins Rd) To I-190 (Kennedy Expy)</t>
  </si>
  <si>
    <t>01-12-0019</t>
  </si>
  <si>
    <t>I-90/I-94</t>
  </si>
  <si>
    <t>at I-290/Congress Pkwy (Jane Byrne Intchg)</t>
  </si>
  <si>
    <t>at I-290 / Congress Pkwy (Jane Byrne Intchg)</t>
  </si>
  <si>
    <t>at I-290/Congress Pkwy (Jane Byrne Intchg) - Halsted &amp; Harrison St Bridges</t>
  </si>
  <si>
    <t>at I-290/Congress Pkwy (Jane Byrne Intchg) - Peoria &amp; Morgan St Bridges</t>
  </si>
  <si>
    <t>at I-290/Congress Pkwy (Jane Byrne Intchg) - Taylor St Bridges &amp; Mainline Bridges (Peoria St To Morgan St)</t>
  </si>
  <si>
    <t>01-98-0058</t>
  </si>
  <si>
    <t xml:space="preserve">I-94 </t>
  </si>
  <si>
    <t>at 110th St &amp; Doty Ave</t>
  </si>
  <si>
    <t>Drainage</t>
  </si>
  <si>
    <t>01-98-0114</t>
  </si>
  <si>
    <t xml:space="preserve">I-90/I-190 </t>
  </si>
  <si>
    <t>at Cumberland Ave (Cumberland Flyover)</t>
  </si>
  <si>
    <t>02-02-0004</t>
  </si>
  <si>
    <t>Northbrook</t>
  </si>
  <si>
    <t>IL 68 (Dundee Rd)</t>
  </si>
  <si>
    <t>at Middle Fork North Branch Chicago River 0.8 Miles East Of IL 43 (Waukegan Rd)</t>
  </si>
  <si>
    <t>02-09-0003</t>
  </si>
  <si>
    <t>Northfield</t>
  </si>
  <si>
    <t>Willow Rd</t>
  </si>
  <si>
    <t>IL 43 (Waukegan Rd) To I-94 (Edens Expy) &amp; At Middle Fork North Branch Chicago River</t>
  </si>
  <si>
    <t>02-12-0010</t>
  </si>
  <si>
    <t>Skokie</t>
  </si>
  <si>
    <t>Mccormick Blvd</t>
  </si>
  <si>
    <t>Howard St To Touhy Ave</t>
  </si>
  <si>
    <t>02-94-0001</t>
  </si>
  <si>
    <t>Prospect Heights, Glenview</t>
  </si>
  <si>
    <t>East of Des Plaines River To Culligan Pkwy</t>
  </si>
  <si>
    <t>03-00-0011</t>
  </si>
  <si>
    <t>Wheeling</t>
  </si>
  <si>
    <t>Wolf Rd</t>
  </si>
  <si>
    <t>IL 21 (Milwaukee Ave) To North of Hintz Rd</t>
  </si>
  <si>
    <t>03-00-0016</t>
  </si>
  <si>
    <t>Des Plaines</t>
  </si>
  <si>
    <t>Des Plaines River</t>
  </si>
  <si>
    <t>US 12 (Rand Rd) To 0.4 Miles North of Touhy Ave</t>
  </si>
  <si>
    <t>03-09-0001</t>
  </si>
  <si>
    <t>Palatine</t>
  </si>
  <si>
    <t>IL 53/IL 68 (Dundee Rd)</t>
  </si>
  <si>
    <t>US 12 (Rand Rd) To Kennedy Dr</t>
  </si>
  <si>
    <t>03-09-0047</t>
  </si>
  <si>
    <t>Rand Rd</t>
  </si>
  <si>
    <t>03-09-0061</t>
  </si>
  <si>
    <t>US 14 (Northwest Hwy)</t>
  </si>
  <si>
    <t>at Broadway St</t>
  </si>
  <si>
    <t>03-09-0082</t>
  </si>
  <si>
    <t>Hoffman Estates</t>
  </si>
  <si>
    <t>Barrington Rd</t>
  </si>
  <si>
    <t>at I-90 (Jane Addams Memorial Tollway)</t>
  </si>
  <si>
    <t>03-10-0033</t>
  </si>
  <si>
    <t>Hanover Park</t>
  </si>
  <si>
    <t>US 20 (Lake St)</t>
  </si>
  <si>
    <t>at Drainage Ditch (West Branch Dupage River)</t>
  </si>
  <si>
    <t>03-12-0014</t>
  </si>
  <si>
    <t>at IL 83 (Elmhurst Rd)</t>
  </si>
  <si>
    <t>03-12-0035</t>
  </si>
  <si>
    <t>Bartlett</t>
  </si>
  <si>
    <t>at IL 59 (Sutton Rd)</t>
  </si>
  <si>
    <t>03-96-0004</t>
  </si>
  <si>
    <t>I-90 (Kennedy Expwy)</t>
  </si>
  <si>
    <t>I-190 to IL 43 (Harlem Ave)</t>
  </si>
  <si>
    <t>03-98-0038</t>
  </si>
  <si>
    <t>at Grove Ave</t>
  </si>
  <si>
    <t>04-00-0023</t>
  </si>
  <si>
    <t>Hillside, Westchester, Bellwood, Broadview, Maywood, Forest Park, Oak Park, Chicago</t>
  </si>
  <si>
    <t>I-290, IL 110</t>
  </si>
  <si>
    <t>I-88 to IL 50 (Cicero Ave)</t>
  </si>
  <si>
    <t>04-98-0021</t>
  </si>
  <si>
    <t>Forest Park</t>
  </si>
  <si>
    <t>04-99-0003</t>
  </si>
  <si>
    <t>Melrose Park, Bellwood</t>
  </si>
  <si>
    <t>25th Ave</t>
  </si>
  <si>
    <t>St Charles Rd to Lake St</t>
  </si>
  <si>
    <t>Rail-Highway Grade Separation</t>
  </si>
  <si>
    <t>05-07-0004</t>
  </si>
  <si>
    <t>Summit, Lyons, Mc Cook</t>
  </si>
  <si>
    <t>IL 171 (Archer Ave)</t>
  </si>
  <si>
    <t>47th St to 55th St Bridge Complex at I-55</t>
  </si>
  <si>
    <t>06-00-0017</t>
  </si>
  <si>
    <t>Bridgeview</t>
  </si>
  <si>
    <t>IL 43 (Harlem Ave)</t>
  </si>
  <si>
    <t>Over Us 12/20 (95th St) 0.6 Miles North of I-294 (Tri-State Tollway)</t>
  </si>
  <si>
    <t>06-06-0048</t>
  </si>
  <si>
    <t>Chicago Ridge, Oak Lawn</t>
  </si>
  <si>
    <t>Southwest Hwy</t>
  </si>
  <si>
    <t>Over B&amp;O RR; Stony Creek at Ridgeland Ave</t>
  </si>
  <si>
    <t>06-08-0001</t>
  </si>
  <si>
    <t>US 6/IL 7 (159th St)</t>
  </si>
  <si>
    <t>Will-Cook Rd to US 45 (S La Grange Rd)</t>
  </si>
  <si>
    <t>06-09-0046</t>
  </si>
  <si>
    <t>Blue Island</t>
  </si>
  <si>
    <t>Western Ave</t>
  </si>
  <si>
    <t>Cal-Sag Channel</t>
  </si>
  <si>
    <t>06-09-0060</t>
  </si>
  <si>
    <t>Lemont</t>
  </si>
  <si>
    <t>IL 83/IL 171 (Archer Ave)</t>
  </si>
  <si>
    <t>at IL 171 (Main St)</t>
  </si>
  <si>
    <t>07-09-0012</t>
  </si>
  <si>
    <t>Posen, Dixmoor, Harvey</t>
  </si>
  <si>
    <t>IL 83 (147th St)</t>
  </si>
  <si>
    <t>Kedzie Ave To Western Ave</t>
  </si>
  <si>
    <t>07-09-0037</t>
  </si>
  <si>
    <t>Oak Forest</t>
  </si>
  <si>
    <t>Midlothian Creek 0.1 Miles West of IL 50 (Cicero Ave)</t>
  </si>
  <si>
    <t>07-09-0038</t>
  </si>
  <si>
    <t>IL 83/US 6 (Torrence Ave)</t>
  </si>
  <si>
    <t>Little Calumet River</t>
  </si>
  <si>
    <t>07-09-0087</t>
  </si>
  <si>
    <t>Blue Island, Riverdale, Dixmoor, Harvey</t>
  </si>
  <si>
    <t>Wood St</t>
  </si>
  <si>
    <t>North of Little Calumet River To South of US 6 (159th Street)</t>
  </si>
  <si>
    <t>07-11-0003</t>
  </si>
  <si>
    <t>Lansing Rd</t>
  </si>
  <si>
    <t>At Stony Island Ave</t>
  </si>
  <si>
    <t>07-11-0004</t>
  </si>
  <si>
    <t>Lynwood</t>
  </si>
  <si>
    <t>US 30 (Lincoln Hwy)</t>
  </si>
  <si>
    <t>At CN RR North of Sauk Trail</t>
  </si>
  <si>
    <t>07-15-0021</t>
  </si>
  <si>
    <t>Robbins</t>
  </si>
  <si>
    <t>Various Locations in Robbins</t>
  </si>
  <si>
    <t>07-15-0026</t>
  </si>
  <si>
    <t>Flossmoor</t>
  </si>
  <si>
    <t>Brookwood Ave</t>
  </si>
  <si>
    <t>At Butterfield Rd</t>
  </si>
  <si>
    <t>07-97-0040</t>
  </si>
  <si>
    <t>Various Pump Stations</t>
  </si>
  <si>
    <t>08-00-0008</t>
  </si>
  <si>
    <t>Lombard, Glen Ellyn</t>
  </si>
  <si>
    <t>IL 53 (Columbine Ave)</t>
  </si>
  <si>
    <t>IL 64 (North Ave) to St Charles Rd</t>
  </si>
  <si>
    <t>08-00-0009</t>
  </si>
  <si>
    <t>Downers Grove</t>
  </si>
  <si>
    <t>IL 53</t>
  </si>
  <si>
    <t>IL 56 (Butterfield Rd) to Osage Ave</t>
  </si>
  <si>
    <t>08-03-0010</t>
  </si>
  <si>
    <t>Winfield</t>
  </si>
  <si>
    <t>IL 38 (Roosevelt Rd)</t>
  </si>
  <si>
    <t>at Winfield Rd</t>
  </si>
  <si>
    <t>08-06-0027</t>
  </si>
  <si>
    <t>08-11-0001</t>
  </si>
  <si>
    <t>Aurora</t>
  </si>
  <si>
    <t>US 34 (Ogden Ave)</t>
  </si>
  <si>
    <t>at CN RR</t>
  </si>
  <si>
    <t>08-12-0002</t>
  </si>
  <si>
    <t>Villa Park</t>
  </si>
  <si>
    <t>at Ardmore Ave</t>
  </si>
  <si>
    <t>08-13-0002</t>
  </si>
  <si>
    <t>Lombard</t>
  </si>
  <si>
    <t>IL 53 (Columbine Ave/Madison St)</t>
  </si>
  <si>
    <t>IL 53/Columbine Ave: Charles Ln to Harding Rd; Madison St: Columbine Ave To Finley Rd</t>
  </si>
  <si>
    <t>IL 53 / Columbine Ave: Charles Ln to Harding Rd; Madison St: Columbine Ave To Finley Rd</t>
  </si>
  <si>
    <t>08-16-0024</t>
  </si>
  <si>
    <t>IL 53/IL 56</t>
  </si>
  <si>
    <t>West of IL 53 To West of I-355 and at IL 53</t>
  </si>
  <si>
    <t>08-95-0001</t>
  </si>
  <si>
    <t>Addison, Itasca</t>
  </si>
  <si>
    <t>IL 53 (Rohlwing Rd)</t>
  </si>
  <si>
    <t>Elgin-O'Hare Expy (Fap 345) to Army Trail Rd</t>
  </si>
  <si>
    <t>08-98-0041</t>
  </si>
  <si>
    <t>St. Charles, West Chicago</t>
  </si>
  <si>
    <t>IL 64 (North Ave)</t>
  </si>
  <si>
    <t>Kautz Rd to IL 59 (Neltnor Blvd)</t>
  </si>
  <si>
    <t>09-09-0084</t>
  </si>
  <si>
    <t>Hampshire</t>
  </si>
  <si>
    <t>IL 72</t>
  </si>
  <si>
    <t>at State St/Getzelman Rd</t>
  </si>
  <si>
    <t>09-09-0099</t>
  </si>
  <si>
    <t>Yorkville</t>
  </si>
  <si>
    <t>US 30</t>
  </si>
  <si>
    <t>IL 47 to Albright Rd</t>
  </si>
  <si>
    <t>09-10-0014</t>
  </si>
  <si>
    <t>IL 31 (Main St)</t>
  </si>
  <si>
    <t>at Miller Rd</t>
  </si>
  <si>
    <t>09-10-0016</t>
  </si>
  <si>
    <t>IL 47</t>
  </si>
  <si>
    <t>at Plato Rd</t>
  </si>
  <si>
    <t>09-10-0028</t>
  </si>
  <si>
    <t>Elgin</t>
  </si>
  <si>
    <t>over Mclean Blvd</t>
  </si>
  <si>
    <t>09-12-0034</t>
  </si>
  <si>
    <t>Carpentersville</t>
  </si>
  <si>
    <t>IL 25 (John F Kennedy Dr)</t>
  </si>
  <si>
    <t>at Golfview Ln</t>
  </si>
  <si>
    <t>09-12-0036</t>
  </si>
  <si>
    <t>Joliet, New Lenox, Minooka</t>
  </si>
  <si>
    <t>I-80</t>
  </si>
  <si>
    <t>Ridge Rd to US 30 (Lincoln Hwy)</t>
  </si>
  <si>
    <t>09-15-0014</t>
  </si>
  <si>
    <t>at Big Timber Rd</t>
  </si>
  <si>
    <t>10-01-0022</t>
  </si>
  <si>
    <t>Kildeer, Long Grove</t>
  </si>
  <si>
    <t>IL 22 (Half Day Rd)</t>
  </si>
  <si>
    <t>Quentin Rd to West of IL 83 (Mundelein Rd)</t>
  </si>
  <si>
    <t>10-02-0013</t>
  </si>
  <si>
    <t>Mundelein, Vernon Hills, Indian Creek, Lincolnshire</t>
  </si>
  <si>
    <t>US 45/IL 83 (Olde Half Day Rd)</t>
  </si>
  <si>
    <t>IL 60 (Townline Rd) to North of IL 22 (Half Day Rd)</t>
  </si>
  <si>
    <t>10-06-0020</t>
  </si>
  <si>
    <t>Old Mill Creek</t>
  </si>
  <si>
    <t>US 45 (Milburn Byp)</t>
  </si>
  <si>
    <t>North of Milburn Rd to North of Grass Lake Rd</t>
  </si>
  <si>
    <t>Local REIM, State Only</t>
  </si>
  <si>
    <t>10-06-0029</t>
  </si>
  <si>
    <t>Grayslake</t>
  </si>
  <si>
    <t>IL 83 (Barron Blvd)</t>
  </si>
  <si>
    <t>IL 120 (Belvidere Rd) to IL 137 &amp; at Atkinson Rd</t>
  </si>
  <si>
    <t>at IL 120 (Belvidere Rd) to IL 137 &amp; at Atkinson Rd</t>
  </si>
  <si>
    <t>10-06-0048</t>
  </si>
  <si>
    <t>Wadsworth</t>
  </si>
  <si>
    <t>I-94/US 41</t>
  </si>
  <si>
    <t>Wisconsin State Line to IL 173</t>
  </si>
  <si>
    <t>10-07-0001</t>
  </si>
  <si>
    <t>Mundelein, Long Grove</t>
  </si>
  <si>
    <t>IL 60/IL 83</t>
  </si>
  <si>
    <t>IL 176 (Maple Park Ave) to EJ&amp;E RR</t>
  </si>
  <si>
    <t>10-07-0005</t>
  </si>
  <si>
    <t>10-09-0024</t>
  </si>
  <si>
    <t>Zion, Wadsworth, Beach Park, Waukegan</t>
  </si>
  <si>
    <t>IL 131 (Green Bay Rd)</t>
  </si>
  <si>
    <t>Russell Rd to Sunset Ave</t>
  </si>
  <si>
    <t>10-09-0114</t>
  </si>
  <si>
    <t>Wadsworth, Gurnee</t>
  </si>
  <si>
    <t>I-94 (Tri-State Tollway) to IL 21</t>
  </si>
  <si>
    <t>10-09-0129</t>
  </si>
  <si>
    <t>Waukegan</t>
  </si>
  <si>
    <t>IL 137  (Amstutz Expwy)</t>
  </si>
  <si>
    <t>over IL 137 (Amstutz Expwy)</t>
  </si>
  <si>
    <t>10-09-0146</t>
  </si>
  <si>
    <t>Old Mill Creek, Lindenhurst</t>
  </si>
  <si>
    <t>US 45 (Lake St)</t>
  </si>
  <si>
    <t>South of Milburn Byp to North  of IL 132</t>
  </si>
  <si>
    <t>10-09-0147</t>
  </si>
  <si>
    <t>Grayslake, Round Lake Beach, Lake Villa</t>
  </si>
  <si>
    <t>Il 83 (Barron Blvd)</t>
  </si>
  <si>
    <t>Petite Lake Rd to IL 120</t>
  </si>
  <si>
    <t>10-10-0016</t>
  </si>
  <si>
    <t>Lindenhurst</t>
  </si>
  <si>
    <t>Munn Rd to Sand Lake Rd</t>
  </si>
  <si>
    <t>10-10-0023</t>
  </si>
  <si>
    <t>Waukegan, Gurnee</t>
  </si>
  <si>
    <t>IL 21 (Milwaukee Ave)</t>
  </si>
  <si>
    <t>IL 120 (Belvidere Rd) to IL 137 (Buckley Rd)</t>
  </si>
  <si>
    <t>10-11-0002</t>
  </si>
  <si>
    <t>Fox Lake</t>
  </si>
  <si>
    <t>US 12 (Rand Rd)</t>
  </si>
  <si>
    <t>at IL 59 (Northbound)</t>
  </si>
  <si>
    <t>10-11-0010</t>
  </si>
  <si>
    <t>Wauconda</t>
  </si>
  <si>
    <t>(IL 176) Liberty St</t>
  </si>
  <si>
    <t>at Brown St</t>
  </si>
  <si>
    <t>at IL 132 (Under UP RR)</t>
  </si>
  <si>
    <t>11-00-0201</t>
  </si>
  <si>
    <t>Lake In The Hills, Algonquin</t>
  </si>
  <si>
    <t>IL 31 (Algonquin Byp)</t>
  </si>
  <si>
    <t>IL 31 (N Jct) to IL 31 (S Jct)</t>
  </si>
  <si>
    <t>11-06-0018</t>
  </si>
  <si>
    <t>Woodstock</t>
  </si>
  <si>
    <t>IL 47 (Seminary St)</t>
  </si>
  <si>
    <t>Charles Rd to US 14</t>
  </si>
  <si>
    <t>11-07-0014</t>
  </si>
  <si>
    <t>Lakewood</t>
  </si>
  <si>
    <t>IL 47/IL 176</t>
  </si>
  <si>
    <t>South of IL 176 to Reed Rd</t>
  </si>
  <si>
    <t>11-12-0011</t>
  </si>
  <si>
    <t>Crystal Lake</t>
  </si>
  <si>
    <t>Country Club Rd</t>
  </si>
  <si>
    <t>Wedgewood Dr to Golf Rd</t>
  </si>
  <si>
    <t>Local Only</t>
  </si>
  <si>
    <t>1-21800-0000</t>
  </si>
  <si>
    <t>12-00-0008</t>
  </si>
  <si>
    <t>US 45 (96th Ave) to IL 43 (Harlem Ave)</t>
  </si>
  <si>
    <t>12-00-0040</t>
  </si>
  <si>
    <t>University Park</t>
  </si>
  <si>
    <t>I-57</t>
  </si>
  <si>
    <t>at Stuenkel Rd</t>
  </si>
  <si>
    <t>12-02-9024</t>
  </si>
  <si>
    <t>Wilmington, Peotone</t>
  </si>
  <si>
    <t>Illiana Expwy</t>
  </si>
  <si>
    <t>I-55 (Will Co) to I-65 (Indiana)</t>
  </si>
  <si>
    <t>12-06-0061</t>
  </si>
  <si>
    <t>IL 7/IL 53 (Broadway St)</t>
  </si>
  <si>
    <t>Caton Farm Rd to IL 7 (Theodore St) &amp; Under EJ&amp;E RR</t>
  </si>
  <si>
    <t>12-06-0066</t>
  </si>
  <si>
    <t>Lemont, Homer Glen</t>
  </si>
  <si>
    <t>IL 171 (Collins St)</t>
  </si>
  <si>
    <t>Long Run Creek</t>
  </si>
  <si>
    <t>12-07-0005</t>
  </si>
  <si>
    <t>at Weber Rd (State Section)</t>
  </si>
  <si>
    <t>Bolingbrook</t>
  </si>
  <si>
    <t>I-55 (Weber Rd)</t>
  </si>
  <si>
    <t>Rodeo Dr to 135th St/Romeo Rd</t>
  </si>
  <si>
    <t>12-08-0015</t>
  </si>
  <si>
    <t>Homer Glen</t>
  </si>
  <si>
    <t>at Marley Creek (0.3 &amp; 1.1 Miles West of Cook Co Line) &amp; West of Haas Rd to East of Spring Meadows Dr</t>
  </si>
  <si>
    <t>12-09-0010</t>
  </si>
  <si>
    <t>New Lenox, Mokena</t>
  </si>
  <si>
    <t>Us 30 (Lincoln Hwy) To Us 45 (96th Ave)</t>
  </si>
  <si>
    <t>12-10-9001</t>
  </si>
  <si>
    <t>Darien, Willowbrook, Burr Ridge, Indian Head Park, Countryside, Hodgkins, Summit, Forest View, Stickney, Chicago, Woodridge</t>
  </si>
  <si>
    <t xml:space="preserve">I-55 </t>
  </si>
  <si>
    <t>I-355 (Veterans Memorial Tollway) to I-90/94 (Dan Ryan Expwy)</t>
  </si>
  <si>
    <t>Road Operations</t>
  </si>
  <si>
    <t>12-11-0049</t>
  </si>
  <si>
    <t>Peotone</t>
  </si>
  <si>
    <t>IL 50</t>
  </si>
  <si>
    <t>at Corning Ave</t>
  </si>
  <si>
    <t>12-15-0012</t>
  </si>
  <si>
    <t>Wilmington</t>
  </si>
  <si>
    <t>at Coal City Rd &amp; Union Pacific RR (High Speed Rail)</t>
  </si>
  <si>
    <t>Safety</t>
  </si>
  <si>
    <t>IL 53 (Baltimore St)</t>
  </si>
  <si>
    <t>at Strip Mine Rd &amp; Union Pacific RR (High Speed Rail)</t>
  </si>
  <si>
    <t>Braidwood</t>
  </si>
  <si>
    <t>IL 53 (Front St)</t>
  </si>
  <si>
    <t>at Division St &amp; Union Pacific RR (High Speed Rail)</t>
  </si>
  <si>
    <t>at Center St &amp; Union Pacific RR (High Speed Rail)</t>
  </si>
  <si>
    <t>Enterprise Dr to Division St</t>
  </si>
  <si>
    <t>Econ Dev</t>
  </si>
  <si>
    <t>12-97-0002</t>
  </si>
  <si>
    <t>Plainfield, Joliet</t>
  </si>
  <si>
    <t>US 30 (Joliet Rd)</t>
  </si>
  <si>
    <t>IL 59 (Division St) to north of I-55</t>
  </si>
  <si>
    <t>IL 59 (Division St) to I-55</t>
  </si>
  <si>
    <t>12-97-0006</t>
  </si>
  <si>
    <t>Lockport, Homer Glen</t>
  </si>
  <si>
    <t>IL 7 (159th St)</t>
  </si>
  <si>
    <t>I-355 (Veterans Memorial Tollway) to Will Cook Rd</t>
  </si>
  <si>
    <t>I-355 (Veterans Memorial Tollway) to Will-Cook Rd</t>
  </si>
  <si>
    <t>13-12-0010</t>
  </si>
  <si>
    <t>Ditch &amp; Tyler Creek 2.3 Miles east of IL 47</t>
  </si>
  <si>
    <t>15-16-0016</t>
  </si>
  <si>
    <t>Chicago, Blue Island, Hodgkins</t>
  </si>
  <si>
    <t>Bridge Drainage Pipe Repair at Various Locations</t>
  </si>
  <si>
    <t>Regional</t>
  </si>
  <si>
    <t>Reagan Memorial Tollway (I-88)</t>
  </si>
  <si>
    <t>IL 251 to US 30</t>
  </si>
  <si>
    <t>Bridge Rehabilitation</t>
  </si>
  <si>
    <t>Tollway</t>
  </si>
  <si>
    <t>New</t>
  </si>
  <si>
    <t>IL 251 to Annie Glidden Rd</t>
  </si>
  <si>
    <t>Road and Bridge Rehabilitation</t>
  </si>
  <si>
    <t>Annie Glidden Rd to IL 56</t>
  </si>
  <si>
    <t>Veterans Memorial Tollway (I-355)</t>
  </si>
  <si>
    <t>75th St to I-88</t>
  </si>
  <si>
    <t>Widen Road</t>
  </si>
  <si>
    <t>I-55 to Butterfield Rd</t>
  </si>
  <si>
    <t>Butterfield Rd to Army Trail Rd</t>
  </si>
  <si>
    <t>Open Road Tolling (ORT)</t>
  </si>
  <si>
    <t>ORT Equipment and Project Management</t>
  </si>
  <si>
    <t>Toll Revenue Management and Maintenance Program</t>
  </si>
  <si>
    <t>Jane Addams Memorial Tollway (I-90)</t>
  </si>
  <si>
    <t>Tripp Rd to Spring Center Rd</t>
  </si>
  <si>
    <t>Bridge Reconstruction and Widening</t>
  </si>
  <si>
    <t>Des Plaines River Rd to Kennedy Expressway</t>
  </si>
  <si>
    <t>I-90/IL 53 to Arlington Heights Road</t>
  </si>
  <si>
    <t>Road and Bridge Reconstruction</t>
  </si>
  <si>
    <t>Arlington Heights Road to Oakton St</t>
  </si>
  <si>
    <t>Oakton St to Mannheim Rd</t>
  </si>
  <si>
    <t>Elgin Plaza to Fox River</t>
  </si>
  <si>
    <t>IL 25 to Higgins Rd</t>
  </si>
  <si>
    <t>Higgins Rd to Roselle Rd</t>
  </si>
  <si>
    <t>Construction Management Services</t>
  </si>
  <si>
    <t>Roselle Rd to IL 53/I-290</t>
  </si>
  <si>
    <t>at Barrington Rd Interchange</t>
  </si>
  <si>
    <t>at Roselle Rd Interchange</t>
  </si>
  <si>
    <t>Irene Rd to Randall Rd</t>
  </si>
  <si>
    <t>Landscaping</t>
  </si>
  <si>
    <t>US 20 to Randall Rd</t>
  </si>
  <si>
    <t>Road and Bridge Repairs</t>
  </si>
  <si>
    <t>Systemwide</t>
  </si>
  <si>
    <t>Utility Relocation</t>
  </si>
  <si>
    <t>Facility Maintence</t>
  </si>
  <si>
    <t>Fuel Facility Maintenance</t>
  </si>
  <si>
    <t>Salt Facility Maintenace</t>
  </si>
  <si>
    <t>Toll Plaza Lighting Repairs</t>
  </si>
  <si>
    <t>Rockford</t>
  </si>
  <si>
    <t>Facility Reconstruction</t>
  </si>
  <si>
    <t>Tri-State Tollway (I-294)</t>
  </si>
  <si>
    <t>I-94/I-394 to 95th St</t>
  </si>
  <si>
    <t xml:space="preserve">Toll Collection Technology </t>
  </si>
  <si>
    <t>at Farnsworth Ave and Orchard Rd to N Eola Rd</t>
  </si>
  <si>
    <t>Bridge Reconstruction and Interchange Improvements</t>
  </si>
  <si>
    <t>Materials Engineering</t>
  </si>
  <si>
    <t>Elgin O'Hare Western Accesss Tollway (I-390)</t>
  </si>
  <si>
    <t>at Plum Grove Rd</t>
  </si>
  <si>
    <t>Facilty Construction</t>
  </si>
  <si>
    <t>Prospect Ave to Lively Blvd</t>
  </si>
  <si>
    <t>Road and Bridge Construction</t>
  </si>
  <si>
    <t>Lake St to Rohlwing Rd</t>
  </si>
  <si>
    <t>US 20 to IL 83</t>
  </si>
  <si>
    <t>at I-490 Interchange and from Supreme Dr to York Rd</t>
  </si>
  <si>
    <t>Interchange Construction</t>
  </si>
  <si>
    <t>Engineering Services</t>
  </si>
  <si>
    <t>Facility Construction</t>
  </si>
  <si>
    <t>I-294 to I-90</t>
  </si>
  <si>
    <t>Franklin Park, Bensenville, Des Plaines, Posen</t>
  </si>
  <si>
    <t>Building Removal</t>
  </si>
  <si>
    <t>Elmhurst Rd at Oakton St</t>
  </si>
  <si>
    <t>Land Acquisition Services</t>
  </si>
  <si>
    <t>Pavement Marking</t>
  </si>
  <si>
    <t>N/A</t>
  </si>
  <si>
    <t>Parking Lot Improvements</t>
  </si>
  <si>
    <t>Plaza HVAC Repairs</t>
  </si>
  <si>
    <t>Building Improvements</t>
  </si>
  <si>
    <t>Federal ID</t>
  </si>
  <si>
    <t>IDOT Program #</t>
  </si>
  <si>
    <t>Authorization Date</t>
  </si>
  <si>
    <t>Change Date</t>
  </si>
  <si>
    <t>Federal</t>
  </si>
  <si>
    <t>01-88-0019</t>
  </si>
  <si>
    <t>01-06-0008</t>
  </si>
  <si>
    <t>01-98-0038</t>
  </si>
  <si>
    <t>01-95-0009</t>
  </si>
  <si>
    <t>01-94-0059</t>
  </si>
  <si>
    <t>07-98-0020</t>
  </si>
  <si>
    <t>03-10-0031</t>
  </si>
  <si>
    <t>11-08-0008</t>
  </si>
  <si>
    <t>02-09-0027</t>
  </si>
  <si>
    <t>03-97-0005</t>
  </si>
  <si>
    <t>03-10-0030</t>
  </si>
  <si>
    <t>06-09-0075</t>
  </si>
  <si>
    <t>06-13-0009</t>
  </si>
  <si>
    <t>05-11-0012</t>
  </si>
  <si>
    <t>09-09-0038</t>
  </si>
  <si>
    <t>10-06-0064</t>
  </si>
  <si>
    <t>02-05-0004</t>
  </si>
  <si>
    <t>09-13-0006</t>
  </si>
  <si>
    <t>01-08-0020</t>
  </si>
  <si>
    <t>12-12-0025</t>
  </si>
  <si>
    <t>08-13-0023</t>
  </si>
  <si>
    <t>05-11-0009</t>
  </si>
  <si>
    <t>11-08-0024</t>
  </si>
  <si>
    <t>09-09-0053</t>
  </si>
  <si>
    <t>05-05-0003</t>
  </si>
  <si>
    <t>07-13-0006</t>
  </si>
  <si>
    <t>08-02-0008</t>
  </si>
  <si>
    <t>08-04-0007</t>
  </si>
  <si>
    <t>13-14-0003</t>
  </si>
  <si>
    <t>03-12-0028</t>
  </si>
  <si>
    <t>12-09-0112</t>
  </si>
  <si>
    <t>03-06-0004</t>
  </si>
  <si>
    <t>04-14-0003</t>
  </si>
  <si>
    <t>09-09-0019</t>
  </si>
  <si>
    <t>11-03-0007</t>
  </si>
  <si>
    <t>07-15-0004</t>
  </si>
  <si>
    <t>07-15-0003</t>
  </si>
  <si>
    <t>09-11-0023</t>
  </si>
  <si>
    <t>07-15-0005</t>
  </si>
  <si>
    <t>10-09-0008</t>
  </si>
  <si>
    <t>01-09-0034</t>
  </si>
  <si>
    <t>12-13-0005</t>
  </si>
  <si>
    <t>01-09-0018</t>
  </si>
  <si>
    <t>03-14-0007</t>
  </si>
  <si>
    <t>07-15-0017</t>
  </si>
  <si>
    <t>10-10-0030</t>
  </si>
  <si>
    <t>08-07-0016</t>
  </si>
  <si>
    <t>12-10-0029</t>
  </si>
  <si>
    <t>09-08-0042</t>
  </si>
  <si>
    <t>13-10-0010</t>
  </si>
  <si>
    <t>10-11-0049</t>
  </si>
  <si>
    <t>09-12-0004</t>
  </si>
  <si>
    <t>03-08-0002</t>
  </si>
  <si>
    <t>04-15-0005</t>
  </si>
  <si>
    <t>07-13-0013</t>
  </si>
  <si>
    <t>02-10-0009</t>
  </si>
  <si>
    <t>09-14-0002</t>
  </si>
  <si>
    <t>10-12-0006</t>
  </si>
  <si>
    <t>06-12-0005</t>
  </si>
  <si>
    <t>03-12-0003</t>
  </si>
  <si>
    <t>10-12-0021</t>
  </si>
  <si>
    <t>03-15-0001</t>
  </si>
  <si>
    <t>06-14-0007</t>
  </si>
  <si>
    <t>08-09-0083</t>
  </si>
  <si>
    <t>12-98-0002</t>
  </si>
  <si>
    <t>13-13-0001</t>
  </si>
  <si>
    <t>03-13-0002</t>
  </si>
  <si>
    <t>07-15-0028</t>
  </si>
  <si>
    <t>12-06-0055</t>
  </si>
  <si>
    <t>12-06-0001</t>
  </si>
  <si>
    <t>13-16-0004</t>
  </si>
  <si>
    <t>12-14-0010</t>
  </si>
  <si>
    <t>15-15-0001</t>
  </si>
  <si>
    <t>08-03-0114</t>
  </si>
  <si>
    <t>04-12-0018</t>
  </si>
  <si>
    <t>11-09-0062</t>
  </si>
  <si>
    <t>07-11-0030</t>
  </si>
  <si>
    <t>13-13-0018</t>
  </si>
  <si>
    <t>08-97-0010</t>
  </si>
  <si>
    <t>06-02-0006</t>
  </si>
  <si>
    <t>07-11-0051</t>
  </si>
  <si>
    <t>10-99-0108</t>
  </si>
  <si>
    <t>09-00-0018</t>
  </si>
  <si>
    <t>04-12-0013</t>
  </si>
  <si>
    <t>11-08-0009</t>
  </si>
  <si>
    <t>12-98-0005</t>
  </si>
  <si>
    <t>13-12-0012</t>
  </si>
  <si>
    <t>08-08-0034</t>
  </si>
  <si>
    <t>07-13-0022</t>
  </si>
  <si>
    <t>11-00-0400</t>
  </si>
  <si>
    <t>12-06-0009</t>
  </si>
  <si>
    <t>09-96-0018</t>
  </si>
  <si>
    <t>09-13-0008</t>
  </si>
  <si>
    <t>06-12-0011</t>
  </si>
  <si>
    <t>08-12-0049</t>
  </si>
  <si>
    <t>07-96-0003</t>
  </si>
  <si>
    <t>12-12-0002</t>
  </si>
  <si>
    <t>02-12-0006</t>
  </si>
  <si>
    <t>07-11-0021</t>
  </si>
  <si>
    <t>03-12-0033</t>
  </si>
  <si>
    <t>03-07-0005</t>
  </si>
  <si>
    <t>01-12-0021</t>
  </si>
  <si>
    <t>12-06-0095</t>
  </si>
  <si>
    <t>04-10-0011</t>
  </si>
  <si>
    <t>08-08-0008</t>
  </si>
  <si>
    <t>07-08-0013</t>
  </si>
  <si>
    <t>05-11-0014</t>
  </si>
  <si>
    <t>03-09-0071</t>
  </si>
  <si>
    <t>06-12-0016</t>
  </si>
  <si>
    <t>08-12-0018</t>
  </si>
  <si>
    <t>07-12-0028</t>
  </si>
  <si>
    <t>08-10-0011</t>
  </si>
  <si>
    <t>09-07-0012</t>
  </si>
  <si>
    <t>07-09-0065</t>
  </si>
  <si>
    <t>04-06-0014</t>
  </si>
  <si>
    <t>04-10-0021</t>
  </si>
  <si>
    <t>09-12-0008</t>
  </si>
  <si>
    <t>09-08-0007</t>
  </si>
  <si>
    <t>01-95-0063</t>
  </si>
  <si>
    <t>08-12-0051</t>
  </si>
  <si>
    <t>10-04-0001</t>
  </si>
  <si>
    <t>08-06-0049</t>
  </si>
  <si>
    <t>03-06-0012</t>
  </si>
  <si>
    <t>09-09-0013</t>
  </si>
  <si>
    <t>12-12-0017</t>
  </si>
  <si>
    <t>09-13-0002</t>
  </si>
  <si>
    <t>08-09-0012</t>
  </si>
  <si>
    <t>12-10-0018</t>
  </si>
  <si>
    <t>08-10-0029</t>
  </si>
  <si>
    <t>01-13-0021</t>
  </si>
  <si>
    <t>01-94-0047</t>
  </si>
  <si>
    <t>06-11-0016</t>
  </si>
  <si>
    <t>10-15-0006</t>
  </si>
  <si>
    <t>02-14-0008</t>
  </si>
  <si>
    <t>12-11-0035</t>
  </si>
  <si>
    <t>02-10-0001</t>
  </si>
  <si>
    <t>08-09-0032</t>
  </si>
  <si>
    <t>09-96-0011</t>
  </si>
  <si>
    <t>08-06-0030</t>
  </si>
  <si>
    <t>08-12-0013</t>
  </si>
  <si>
    <t>08-09-0077</t>
  </si>
  <si>
    <t>03-12-0008</t>
  </si>
  <si>
    <t>L23E</t>
  </si>
  <si>
    <t>HPP</t>
  </si>
  <si>
    <t>Z230</t>
  </si>
  <si>
    <t>L230</t>
  </si>
  <si>
    <t>M001</t>
  </si>
  <si>
    <t>MS3E</t>
  </si>
  <si>
    <t>L11E</t>
  </si>
  <si>
    <t>M0E1</t>
  </si>
  <si>
    <t>Z001</t>
  </si>
  <si>
    <t>M230</t>
  </si>
  <si>
    <t>L1CE</t>
  </si>
  <si>
    <t>M23E</t>
  </si>
  <si>
    <t>L40R</t>
  </si>
  <si>
    <t>L22R</t>
  </si>
  <si>
    <t>L1C0</t>
  </si>
  <si>
    <t>LU2E</t>
  </si>
  <si>
    <t>M2E3</t>
  </si>
  <si>
    <t>RPF9</t>
  </si>
  <si>
    <t>L40E</t>
  </si>
  <si>
    <t>LS5E</t>
  </si>
  <si>
    <t>LS50</t>
  </si>
  <si>
    <t>L22E</t>
  </si>
  <si>
    <t>M300</t>
  </si>
  <si>
    <t>M40E</t>
  </si>
  <si>
    <t>L400</t>
  </si>
  <si>
    <t>L05E</t>
  </si>
  <si>
    <t>M400</t>
  </si>
  <si>
    <t>M30E</t>
  </si>
  <si>
    <t>L01E</t>
  </si>
  <si>
    <t>33N0</t>
  </si>
  <si>
    <t>MS40</t>
  </si>
  <si>
    <t>L050</t>
  </si>
  <si>
    <t>LS3E</t>
  </si>
  <si>
    <t>LS4E</t>
  </si>
  <si>
    <t>M233</t>
  </si>
  <si>
    <t>L27R</t>
  </si>
  <si>
    <t>LY10</t>
  </si>
  <si>
    <t>MS30</t>
  </si>
  <si>
    <t>LS30</t>
  </si>
  <si>
    <t>L220</t>
  </si>
  <si>
    <t>M240</t>
  </si>
  <si>
    <t>33M0</t>
  </si>
  <si>
    <t>H260</t>
  </si>
  <si>
    <t>LY50</t>
  </si>
  <si>
    <t>HY10</t>
  </si>
  <si>
    <t>H230</t>
  </si>
  <si>
    <t>33C0</t>
  </si>
  <si>
    <t>M301</t>
  </si>
  <si>
    <t>Hazel Crest</t>
  </si>
  <si>
    <t>Schaumburg</t>
  </si>
  <si>
    <t>South Barrington</t>
  </si>
  <si>
    <t>Glenview, Niles</t>
  </si>
  <si>
    <t>Oak Lawn</t>
  </si>
  <si>
    <t>Chicago Ridge</t>
  </si>
  <si>
    <t>Riverside</t>
  </si>
  <si>
    <t xml:space="preserve">St Charles </t>
  </si>
  <si>
    <t>Mundelein</t>
  </si>
  <si>
    <t>Glenview</t>
  </si>
  <si>
    <t>Geneva</t>
  </si>
  <si>
    <t>Lockport</t>
  </si>
  <si>
    <t>Bensenville, Wood Dale</t>
  </si>
  <si>
    <t>Hodgkins</t>
  </si>
  <si>
    <t>Sugar Grove</t>
  </si>
  <si>
    <t>Brookfield</t>
  </si>
  <si>
    <t>Glenwood</t>
  </si>
  <si>
    <t>Lisle</t>
  </si>
  <si>
    <t>Rolling Meadows</t>
  </si>
  <si>
    <t>Northlake</t>
  </si>
  <si>
    <t>West Dundee</t>
  </si>
  <si>
    <t>Calumet Park</t>
  </si>
  <si>
    <t>South Holland</t>
  </si>
  <si>
    <t>Round Lake</t>
  </si>
  <si>
    <t>Joliet</t>
  </si>
  <si>
    <t>St. Charles Township</t>
  </si>
  <si>
    <t>Melrose Park</t>
  </si>
  <si>
    <t>Morton Grove</t>
  </si>
  <si>
    <t>Mount Prospect</t>
  </si>
  <si>
    <t>Evergreen Park</t>
  </si>
  <si>
    <t>DuPage County</t>
  </si>
  <si>
    <t>Shorewood</t>
  </si>
  <si>
    <t>Elk Grove</t>
  </si>
  <si>
    <t>Manhattan Township</t>
  </si>
  <si>
    <t>Cook and Will Counties</t>
  </si>
  <si>
    <t>Cook and DuPage Counties</t>
  </si>
  <si>
    <t>Chicago, Tinley Park, Willowbrook</t>
  </si>
  <si>
    <t>Oak Park</t>
  </si>
  <si>
    <t>Olympia Fields, Chicago Heights</t>
  </si>
  <si>
    <t>Oakbrook, Oakbrook Terrace</t>
  </si>
  <si>
    <t>Hillside</t>
  </si>
  <si>
    <t>Monee</t>
  </si>
  <si>
    <t>Itasca</t>
  </si>
  <si>
    <t>Calumet City</t>
  </si>
  <si>
    <t>Evanston</t>
  </si>
  <si>
    <t>Harvey</t>
  </si>
  <si>
    <t>Kennicott</t>
  </si>
  <si>
    <t>Markham</t>
  </si>
  <si>
    <t>Glen Ellyn</t>
  </si>
  <si>
    <t>West Chicago</t>
  </si>
  <si>
    <t>Lyons</t>
  </si>
  <si>
    <t>Bedford Park</t>
  </si>
  <si>
    <t>Park Forest</t>
  </si>
  <si>
    <t>Naperville</t>
  </si>
  <si>
    <t>Franklin Park</t>
  </si>
  <si>
    <t>Oswego</t>
  </si>
  <si>
    <t>Plano</t>
  </si>
  <si>
    <t>Joliet Twp</t>
  </si>
  <si>
    <t>Lincolnwood</t>
  </si>
  <si>
    <t>Warrenville</t>
  </si>
  <si>
    <t>Elston Ave</t>
  </si>
  <si>
    <t>Central Ave</t>
  </si>
  <si>
    <t>Jackson Dr</t>
  </si>
  <si>
    <t>IL 1</t>
  </si>
  <si>
    <t>Dunham Rd</t>
  </si>
  <si>
    <t>IL 68</t>
  </si>
  <si>
    <t>IL 62</t>
  </si>
  <si>
    <t>127th St</t>
  </si>
  <si>
    <t>IL 7</t>
  </si>
  <si>
    <t>East Burlington St</t>
  </si>
  <si>
    <t>US 45/Lake St</t>
  </si>
  <si>
    <t>Greenwood Rd</t>
  </si>
  <si>
    <t>Kirk Road</t>
  </si>
  <si>
    <t>Congress Parkway</t>
  </si>
  <si>
    <t>Green Garden Pl</t>
  </si>
  <si>
    <t>IL 83</t>
  </si>
  <si>
    <t>East Ave</t>
  </si>
  <si>
    <t>Blivin St</t>
  </si>
  <si>
    <t>Dugarn Rd</t>
  </si>
  <si>
    <t>Grand Blvd</t>
  </si>
  <si>
    <t>Halsted St</t>
  </si>
  <si>
    <t>IL 38/Roosevelt Rd</t>
  </si>
  <si>
    <t>Maple Ave</t>
  </si>
  <si>
    <t>Salt Creek Bike Path Extension</t>
  </si>
  <si>
    <t>Burnham Ave</t>
  </si>
  <si>
    <t>Schmidt Rd</t>
  </si>
  <si>
    <t>IL 64/North Ave frontage road</t>
  </si>
  <si>
    <t>198th St</t>
  </si>
  <si>
    <t>124th St</t>
  </si>
  <si>
    <t>Douglas Ave</t>
  </si>
  <si>
    <t>170th St</t>
  </si>
  <si>
    <t>Taylor Rd</t>
  </si>
  <si>
    <t>IL 68/Dundee Rd</t>
  </si>
  <si>
    <t>Cottage Grove Ave</t>
  </si>
  <si>
    <t>MacGillis Dr</t>
  </si>
  <si>
    <t>Ardmore Ave</t>
  </si>
  <si>
    <t>Burr Rd</t>
  </si>
  <si>
    <t>Long Lake Dr</t>
  </si>
  <si>
    <t>Eola Rd</t>
  </si>
  <si>
    <t>Central Rd</t>
  </si>
  <si>
    <t>Division St</t>
  </si>
  <si>
    <t>Claire Blvd</t>
  </si>
  <si>
    <t>US 14/Caldwell Ave</t>
  </si>
  <si>
    <t>Station Blvd</t>
  </si>
  <si>
    <t>Mathon Dr</t>
  </si>
  <si>
    <t>IL 43</t>
  </si>
  <si>
    <t>Millenium Trail</t>
  </si>
  <si>
    <t>California Ave</t>
  </si>
  <si>
    <t>75th St</t>
  </si>
  <si>
    <t>IL 59</t>
  </si>
  <si>
    <t>Lively Blvd</t>
  </si>
  <si>
    <t>183rd St</t>
  </si>
  <si>
    <t>US 52</t>
  </si>
  <si>
    <t>Parker Rd</t>
  </si>
  <si>
    <t>US 6</t>
  </si>
  <si>
    <t>East River Rd</t>
  </si>
  <si>
    <t>Great Western Trail</t>
  </si>
  <si>
    <t>South Blvd</t>
  </si>
  <si>
    <t>Circle Interchange</t>
  </si>
  <si>
    <t>22nd St</t>
  </si>
  <si>
    <t>Divison St</t>
  </si>
  <si>
    <t>Vincennes Rd</t>
  </si>
  <si>
    <t>Shorewood Rd</t>
  </si>
  <si>
    <t>Van Buren St, Williams Pl, Elgin Ave</t>
  </si>
  <si>
    <t>Hillside Ave</t>
  </si>
  <si>
    <t>UPRR</t>
  </si>
  <si>
    <t xml:space="preserve">IL 50 </t>
  </si>
  <si>
    <t>Maple St</t>
  </si>
  <si>
    <t>Oak Park Ave</t>
  </si>
  <si>
    <t>Crystal Lake Ave</t>
  </si>
  <si>
    <t>143rd St</t>
  </si>
  <si>
    <t>Stearns Rd</t>
  </si>
  <si>
    <t>IL 56</t>
  </si>
  <si>
    <t>University Pkwy</t>
  </si>
  <si>
    <t>Homer Glen Community Trail</t>
  </si>
  <si>
    <t>Dempster Rd</t>
  </si>
  <si>
    <t>Dixie Hwy</t>
  </si>
  <si>
    <t>US 14</t>
  </si>
  <si>
    <t>IL 17 and US 34</t>
  </si>
  <si>
    <t>Walnut Ln</t>
  </si>
  <si>
    <t>Winfield Rd</t>
  </si>
  <si>
    <t>Blackhawk Dr</t>
  </si>
  <si>
    <t>Book Rd</t>
  </si>
  <si>
    <t>Galena Blvd</t>
  </si>
  <si>
    <t>Lake St</t>
  </si>
  <si>
    <t xml:space="preserve">US 34 </t>
  </si>
  <si>
    <t>Ruby St</t>
  </si>
  <si>
    <t>US 34</t>
  </si>
  <si>
    <t>Mill Rd</t>
  </si>
  <si>
    <t>Wacker Dr</t>
  </si>
  <si>
    <t>Warrenville Rd</t>
  </si>
  <si>
    <t>Wood Dale Rd</t>
  </si>
  <si>
    <t>IL 64</t>
  </si>
  <si>
    <t>Farrell Road</t>
  </si>
  <si>
    <t xml:space="preserve">Various </t>
  </si>
  <si>
    <t>Fair Oaks Rd</t>
  </si>
  <si>
    <t>Caton Farm Rd</t>
  </si>
  <si>
    <t>Hill Ave</t>
  </si>
  <si>
    <t>Lincoln Village Bike/Ped Bridge</t>
  </si>
  <si>
    <t>Citywide</t>
  </si>
  <si>
    <t>Cicero Ave</t>
  </si>
  <si>
    <t>Shermer Rd</t>
  </si>
  <si>
    <t>UP corridor</t>
  </si>
  <si>
    <t>Williams Rd</t>
  </si>
  <si>
    <t>Central Area (#64)</t>
  </si>
  <si>
    <t>Bloomington Ave to Belden Ave</t>
  </si>
  <si>
    <t>over Metra RR Tracks</t>
  </si>
  <si>
    <t>over I-80/294</t>
  </si>
  <si>
    <t>Lexington Dr to I-290</t>
  </si>
  <si>
    <t>over Rush Creek</t>
  </si>
  <si>
    <t>at US 6</t>
  </si>
  <si>
    <t>at Portwine Rd</t>
  </si>
  <si>
    <t>Eastings Way to Penny Rd</t>
  </si>
  <si>
    <t>at Southwest Highway</t>
  </si>
  <si>
    <t>over B&amp;O RR and Ridgelend Ave</t>
  </si>
  <si>
    <t>Longcommon Rd to Harlem Ave</t>
  </si>
  <si>
    <t>at Silver Glen Rd</t>
  </si>
  <si>
    <t>Hickory Ave to Hawthorne Blvd</t>
  </si>
  <si>
    <t>at Gelnview Rd</t>
  </si>
  <si>
    <t>at Illinois Prairie Path</t>
  </si>
  <si>
    <t>over Chicago River</t>
  </si>
  <si>
    <t>Nobles Ave to Oak Ave</t>
  </si>
  <si>
    <t>Mark St to 3rd Ave</t>
  </si>
  <si>
    <t>67th St to Joliet Rd</t>
  </si>
  <si>
    <t>over Nippersink Creek</t>
  </si>
  <si>
    <t>Village limits to US 30</t>
  </si>
  <si>
    <t>Veterans Cirlce to 31st St</t>
  </si>
  <si>
    <t>183rd St to 187th St</t>
  </si>
  <si>
    <t>Michigan Ave to Ardmore Ave</t>
  </si>
  <si>
    <t>over East Branch of DuPage River</t>
  </si>
  <si>
    <t xml:space="preserve">CSXT south of 182nd </t>
  </si>
  <si>
    <t>Kirchoff Rd to Rolling Meadows Public Library</t>
  </si>
  <si>
    <t>CSXT south of 186th</t>
  </si>
  <si>
    <t>over Lily Cache Creek</t>
  </si>
  <si>
    <t>Lavergne Ave to Roy Ave</t>
  </si>
  <si>
    <t>Torrence Ave to Burnham Ave</t>
  </si>
  <si>
    <t>Montgomery Rd to Melrose</t>
  </si>
  <si>
    <t>Dixie Highway to Park Ave</t>
  </si>
  <si>
    <t>US 12 to Lotus Dr</t>
  </si>
  <si>
    <t>Budler Rd to Weber Rd</t>
  </si>
  <si>
    <t>Northgate Pkwy to US 45</t>
  </si>
  <si>
    <t>over Squaw Creek</t>
  </si>
  <si>
    <t>over CC&amp;P railroad</t>
  </si>
  <si>
    <t>over Spring Creek</t>
  </si>
  <si>
    <t>over Ferson Creek</t>
  </si>
  <si>
    <t>Lorenzo Rd to I-80</t>
  </si>
  <si>
    <t>Lotus Dr to Sunset Dr</t>
  </si>
  <si>
    <t>Wolf's Crossing Rd to East New York St</t>
  </si>
  <si>
    <t>Wold Rd to E River Rd</t>
  </si>
  <si>
    <t>37th Ave to 31st Ave</t>
  </si>
  <si>
    <t>139th St to Kedzie Ave</t>
  </si>
  <si>
    <t>over North Branch Chicago River</t>
  </si>
  <si>
    <t>over UP railroad</t>
  </si>
  <si>
    <t>at 151st</t>
  </si>
  <si>
    <t>at Barrington Rd</t>
  </si>
  <si>
    <t>under Grass Lake Rd</t>
  </si>
  <si>
    <t>at Weller Ln</t>
  </si>
  <si>
    <t>95th St to 87th St</t>
  </si>
  <si>
    <t>at I-55</t>
  </si>
  <si>
    <t>NSRR south of Brainard Ave</t>
  </si>
  <si>
    <t>Devon Ave to Throndale Ave</t>
  </si>
  <si>
    <t>Crawford Ave to Sacramento Ave</t>
  </si>
  <si>
    <t>over Jackson Creek</t>
  </si>
  <si>
    <t>143rd St to 135th St</t>
  </si>
  <si>
    <t>over I-90</t>
  </si>
  <si>
    <t>Old Great Western Trail RR</t>
  </si>
  <si>
    <t>Harlem Ave to Marion St</t>
  </si>
  <si>
    <t>IL 83 to IL 56</t>
  </si>
  <si>
    <t>over Cal-Sag Channel</t>
  </si>
  <si>
    <t>US 6 to Old Vincennes Rd</t>
  </si>
  <si>
    <t>I-355 to I-90/94</t>
  </si>
  <si>
    <t>Rollins Rd to IL 83</t>
  </si>
  <si>
    <t>S Corporate limits to Barrington Rd</t>
  </si>
  <si>
    <t>Harrison St to Darmstadt Rd</t>
  </si>
  <si>
    <t>at Wolf Rd north of Prairie Ave</t>
  </si>
  <si>
    <t>over North branch of Kishwaukee River</t>
  </si>
  <si>
    <t>at Court St</t>
  </si>
  <si>
    <t>south of 90th St</t>
  </si>
  <si>
    <t>over Spring Brook Creek</t>
  </si>
  <si>
    <t>BNSF north of Ogden Ave</t>
  </si>
  <si>
    <t>East Main St to Erick St</t>
  </si>
  <si>
    <t>I-355 to State St</t>
  </si>
  <si>
    <t>DeKalb County Line to French Rd</t>
  </si>
  <si>
    <t>at I-355 ramps</t>
  </si>
  <si>
    <t>Governor's Hwy to Crawford Ave</t>
  </si>
  <si>
    <t>159th St to Martingale Ln</t>
  </si>
  <si>
    <t>Fowler Ave to Dofge Ave</t>
  </si>
  <si>
    <t>150th St and 154th St</t>
  </si>
  <si>
    <t>Smith Rd to Palatine Rd</t>
  </si>
  <si>
    <t>at Moon Lake Blvd</t>
  </si>
  <si>
    <t>at N Wilke Rd</t>
  </si>
  <si>
    <t>25th Ave to 9th Ave</t>
  </si>
  <si>
    <t>over Crawford Ave</t>
  </si>
  <si>
    <t>over tributary nrth of Bemis Rd</t>
  </si>
  <si>
    <t>at Browning Way and Dayton Ave</t>
  </si>
  <si>
    <t>I-355 to Kedzie Ave</t>
  </si>
  <si>
    <t>over Poplar Creek</t>
  </si>
  <si>
    <t>65th St to 67th St</t>
  </si>
  <si>
    <t>Monee Rd to Sauk Trail</t>
  </si>
  <si>
    <t>111th St to 87th St</t>
  </si>
  <si>
    <t>over IL 56</t>
  </si>
  <si>
    <t>at N Aurora Rd</t>
  </si>
  <si>
    <t>at Pacific Ave and Franklin Ave</t>
  </si>
  <si>
    <t>Orchard Rd to IL 31</t>
  </si>
  <si>
    <t>Galena Rd to Faxon Rd</t>
  </si>
  <si>
    <t>at IL 120</t>
  </si>
  <si>
    <t>over west branch of DuPage River</t>
  </si>
  <si>
    <t>at Green Bay Rd</t>
  </si>
  <si>
    <t>Randall Rdto Burlington Rd</t>
  </si>
  <si>
    <t>St Charles Rd</t>
  </si>
  <si>
    <t>over DuPage River</t>
  </si>
  <si>
    <t>North Shore Channel Trail to Hood Ave</t>
  </si>
  <si>
    <t>over west fork North Branch Chicago River</t>
  </si>
  <si>
    <t>at Spring Creek</t>
  </si>
  <si>
    <t>Devon Ave to Touhy Ave</t>
  </si>
  <si>
    <t>over West Branch DuPage River</t>
  </si>
  <si>
    <t>Damen Ave to Fullerton Ave</t>
  </si>
  <si>
    <t>C/CE</t>
  </si>
  <si>
    <t>E1</t>
  </si>
  <si>
    <t>ADA Ramps</t>
  </si>
  <si>
    <t>New Underpass</t>
  </si>
  <si>
    <t>Bridge Replacement</t>
  </si>
  <si>
    <t>Interchange Reconstruction</t>
  </si>
  <si>
    <t>New Traffic Signals</t>
  </si>
  <si>
    <t>Add lanes</t>
  </si>
  <si>
    <t>Traffic Signal Modernization</t>
  </si>
  <si>
    <t>Resurfacing and Drainage Improvements</t>
  </si>
  <si>
    <t>Traffic Signal Modernization, pedestrian signals</t>
  </si>
  <si>
    <t>Resurfacing, sidewalk replacement, landscaping, lighting</t>
  </si>
  <si>
    <t>Channelization &amp; signal upgrades</t>
  </si>
  <si>
    <t>Replace sidewalk</t>
  </si>
  <si>
    <t>Reconstruct Intersection</t>
  </si>
  <si>
    <t>Safety lighting</t>
  </si>
  <si>
    <t xml:space="preserve">Bridge Rehabilitation </t>
  </si>
  <si>
    <t xml:space="preserve">New Sidewalk </t>
  </si>
  <si>
    <t>Intersection Reconstruction</t>
  </si>
  <si>
    <t>Reconstruct and Resurfacing</t>
  </si>
  <si>
    <t>Signal Modernization and Pedestrian Improvements</t>
  </si>
  <si>
    <t>Sidewalk improvement</t>
  </si>
  <si>
    <t>New bike path</t>
  </si>
  <si>
    <t>New circuitry</t>
  </si>
  <si>
    <t>New circuitry and gates</t>
  </si>
  <si>
    <t>Replace culverts</t>
  </si>
  <si>
    <t>Widen and resurface road, sidewalk, utility work, traffic signals, streetscape</t>
  </si>
  <si>
    <t>Traffic signal interconnect</t>
  </si>
  <si>
    <t>Roadway lighting and sidewalk replacement</t>
  </si>
  <si>
    <t>Traffic signal upgrade</t>
  </si>
  <si>
    <t>Bridge rehabilitation</t>
  </si>
  <si>
    <t>Bridge replacement</t>
  </si>
  <si>
    <t>Bicycle lane improvements</t>
  </si>
  <si>
    <t>Parking lot expansion</t>
  </si>
  <si>
    <t>Install turning lanes and traffic signal modernization</t>
  </si>
  <si>
    <t>New pedestrian underpass</t>
  </si>
  <si>
    <t>Pedestrian crossing improvements</t>
  </si>
  <si>
    <t>Interchange reconstruction</t>
  </si>
  <si>
    <t>Road reconstruction</t>
  </si>
  <si>
    <t>New pedestrian path</t>
  </si>
  <si>
    <t xml:space="preserve">Guardrail replacement </t>
  </si>
  <si>
    <t>Tree removal</t>
  </si>
  <si>
    <t>Safety improvements</t>
  </si>
  <si>
    <t>Overpass replacement</t>
  </si>
  <si>
    <t>intersection Improvement</t>
  </si>
  <si>
    <t>New multi-use path</t>
  </si>
  <si>
    <t xml:space="preserve">Widen road, new multi-use path, bridge replacement </t>
  </si>
  <si>
    <t>install cameras</t>
  </si>
  <si>
    <t>signal modernization</t>
  </si>
  <si>
    <t>safety signage installation</t>
  </si>
  <si>
    <t>resurface road</t>
  </si>
  <si>
    <t>sweeping</t>
  </si>
  <si>
    <t>add left turn lane</t>
  </si>
  <si>
    <t>road reconstruction</t>
  </si>
  <si>
    <t>resurfacing</t>
  </si>
  <si>
    <t>new circuitry</t>
  </si>
  <si>
    <t>bridge replacement</t>
  </si>
  <si>
    <t>replace lighting</t>
  </si>
  <si>
    <t>widen and reconstruct</t>
  </si>
  <si>
    <t>new bridge</t>
  </si>
  <si>
    <t>safety work</t>
  </si>
  <si>
    <t>3 bridge replacements</t>
  </si>
  <si>
    <t>new multi use path</t>
  </si>
  <si>
    <t>traffic signal modernization</t>
  </si>
  <si>
    <t>lane control system modernization</t>
  </si>
  <si>
    <t>add turn lanes</t>
  </si>
  <si>
    <t>add medians, streetscape improvements</t>
  </si>
  <si>
    <t>streetscape improvements</t>
  </si>
  <si>
    <t>bridge rehabilitation</t>
  </si>
  <si>
    <t>culvert replacement</t>
  </si>
  <si>
    <t>install right turn lane, signal modernization</t>
  </si>
  <si>
    <t>patching, sidewalk replacement</t>
  </si>
  <si>
    <t>new right turn lane, signal modernization</t>
  </si>
  <si>
    <t>safety improvements</t>
  </si>
  <si>
    <t>highway/railroad signal interconnect</t>
  </si>
  <si>
    <t>interchange improvements</t>
  </si>
  <si>
    <t>new multi-use path</t>
  </si>
  <si>
    <t>full reconstruction</t>
  </si>
  <si>
    <t>intersection improvement</t>
  </si>
  <si>
    <t>highway rail crossing realingment</t>
  </si>
  <si>
    <t>new multi-use trail</t>
  </si>
  <si>
    <t>bridge inspections</t>
  </si>
  <si>
    <t>new sidewalk</t>
  </si>
  <si>
    <t>STP-L</t>
  </si>
  <si>
    <t>NHPP</t>
  </si>
  <si>
    <t>HSIP</t>
  </si>
  <si>
    <t>STP-Bridge</t>
  </si>
  <si>
    <t>SRTS</t>
  </si>
  <si>
    <t>6000345</t>
  </si>
  <si>
    <t>6000472</t>
  </si>
  <si>
    <t>6000425</t>
  </si>
  <si>
    <t>6000018</t>
  </si>
  <si>
    <t>5000939</t>
  </si>
  <si>
    <t>0876076</t>
  </si>
  <si>
    <t>0341060</t>
  </si>
  <si>
    <t>8003857</t>
  </si>
  <si>
    <t>0055452</t>
  </si>
  <si>
    <t>0068114</t>
  </si>
  <si>
    <t>0339029</t>
  </si>
  <si>
    <t>0347031</t>
  </si>
  <si>
    <t>1587006</t>
  </si>
  <si>
    <t>0350040</t>
  </si>
  <si>
    <t>3578010</t>
  </si>
  <si>
    <t>4003093</t>
  </si>
  <si>
    <t>3887010</t>
  </si>
  <si>
    <t>8003894</t>
  </si>
  <si>
    <t>8003543</t>
  </si>
  <si>
    <t>00D1948</t>
  </si>
  <si>
    <t>0389004</t>
  </si>
  <si>
    <t>4009227</t>
  </si>
  <si>
    <t>0344058</t>
  </si>
  <si>
    <t>0341059</t>
  </si>
  <si>
    <t>9003868</t>
  </si>
  <si>
    <t>0111049</t>
  </si>
  <si>
    <t>4003252</t>
  </si>
  <si>
    <t>9003875</t>
  </si>
  <si>
    <t>4003121</t>
  </si>
  <si>
    <t>0347016</t>
  </si>
  <si>
    <t>8003302</t>
  </si>
  <si>
    <t>2937006</t>
  </si>
  <si>
    <t>00D1906</t>
  </si>
  <si>
    <t>2943021</t>
  </si>
  <si>
    <t>9003520</t>
  </si>
  <si>
    <t>9003126</t>
  </si>
  <si>
    <t>4003257</t>
  </si>
  <si>
    <t>3887008</t>
  </si>
  <si>
    <t>0336100</t>
  </si>
  <si>
    <t>4003433</t>
  </si>
  <si>
    <t>4003432</t>
  </si>
  <si>
    <t>4003146</t>
  </si>
  <si>
    <t>4003440</t>
  </si>
  <si>
    <t>9003527</t>
  </si>
  <si>
    <t>0055400</t>
  </si>
  <si>
    <t>4003157</t>
  </si>
  <si>
    <t>0094401</t>
  </si>
  <si>
    <t>4003271</t>
  </si>
  <si>
    <t>4003459</t>
  </si>
  <si>
    <t>9003745</t>
  </si>
  <si>
    <t>8003799</t>
  </si>
  <si>
    <t>9003533</t>
  </si>
  <si>
    <t>0089142</t>
  </si>
  <si>
    <t>0556244</t>
  </si>
  <si>
    <t>9003940</t>
  </si>
  <si>
    <t>9003937</t>
  </si>
  <si>
    <t>9003179</t>
  </si>
  <si>
    <t>4003489</t>
  </si>
  <si>
    <t>4003175</t>
  </si>
  <si>
    <t>000S941</t>
  </si>
  <si>
    <t>0376002</t>
  </si>
  <si>
    <t>4003287</t>
  </si>
  <si>
    <t>9003952</t>
  </si>
  <si>
    <t>0348055</t>
  </si>
  <si>
    <t>0339075</t>
  </si>
  <si>
    <t>4003180</t>
  </si>
  <si>
    <t>4009323</t>
  </si>
  <si>
    <t>4003299</t>
  </si>
  <si>
    <t>0043028</t>
  </si>
  <si>
    <t>0556232</t>
  </si>
  <si>
    <t>2943019</t>
  </si>
  <si>
    <t>4003315</t>
  </si>
  <si>
    <t>4003496</t>
  </si>
  <si>
    <t>0852013</t>
  </si>
  <si>
    <t>00D1673</t>
  </si>
  <si>
    <t>000V065</t>
  </si>
  <si>
    <t>000V066</t>
  </si>
  <si>
    <t>0351026</t>
  </si>
  <si>
    <t>000V030</t>
  </si>
  <si>
    <t>0090402</t>
  </si>
  <si>
    <t>0297025</t>
  </si>
  <si>
    <t>9003548</t>
  </si>
  <si>
    <t>IL12102</t>
  </si>
  <si>
    <t>9003555</t>
  </si>
  <si>
    <t>000S956</t>
  </si>
  <si>
    <t>0353023</t>
  </si>
  <si>
    <t>000S943</t>
  </si>
  <si>
    <t>1453011</t>
  </si>
  <si>
    <t>4003507</t>
  </si>
  <si>
    <t>000V031</t>
  </si>
  <si>
    <t>4003196</t>
  </si>
  <si>
    <t>0055402</t>
  </si>
  <si>
    <t>8003637</t>
  </si>
  <si>
    <t>9003247</t>
  </si>
  <si>
    <t>9003995</t>
  </si>
  <si>
    <t>2691003</t>
  </si>
  <si>
    <t>1233106</t>
  </si>
  <si>
    <t>0840064</t>
  </si>
  <si>
    <t>3730003</t>
  </si>
  <si>
    <t>8003995</t>
  </si>
  <si>
    <t>2775003</t>
  </si>
  <si>
    <t>0351025</t>
  </si>
  <si>
    <t>9003017</t>
  </si>
  <si>
    <t>9003021</t>
  </si>
  <si>
    <t>1527090</t>
  </si>
  <si>
    <t>0557280</t>
  </si>
  <si>
    <t>0055475</t>
  </si>
  <si>
    <t>1548003</t>
  </si>
  <si>
    <t>0365015</t>
  </si>
  <si>
    <t>4003384</t>
  </si>
  <si>
    <t>4003044</t>
  </si>
  <si>
    <t>4003048</t>
  </si>
  <si>
    <t>0370012</t>
  </si>
  <si>
    <t>0305047</t>
  </si>
  <si>
    <t>0341048</t>
  </si>
  <si>
    <t>000V039</t>
  </si>
  <si>
    <t>0343027</t>
  </si>
  <si>
    <t>00D1796</t>
  </si>
  <si>
    <t>00D1825</t>
  </si>
  <si>
    <t>0307040</t>
  </si>
  <si>
    <t>0577292</t>
  </si>
  <si>
    <t>0870015</t>
  </si>
  <si>
    <t>0338075</t>
  </si>
  <si>
    <t>000S955</t>
  </si>
  <si>
    <t>00HB001</t>
  </si>
  <si>
    <t>9003820</t>
  </si>
  <si>
    <t>4003075</t>
  </si>
  <si>
    <t>0089169</t>
  </si>
  <si>
    <t>4003077</t>
  </si>
  <si>
    <t>9003831</t>
  </si>
  <si>
    <t>1583005</t>
  </si>
  <si>
    <t>0573161</t>
  </si>
  <si>
    <t>2857009</t>
  </si>
  <si>
    <t>3537006</t>
  </si>
  <si>
    <t>0311045</t>
  </si>
  <si>
    <t>9003687</t>
  </si>
  <si>
    <t>0591028</t>
  </si>
  <si>
    <t>9003983</t>
  </si>
  <si>
    <t>4003304</t>
  </si>
  <si>
    <t>1574002</t>
  </si>
  <si>
    <t>0336035</t>
  </si>
  <si>
    <t>4003261</t>
  </si>
  <si>
    <t>9003744</t>
  </si>
  <si>
    <t>8003404</t>
  </si>
  <si>
    <t>1149100</t>
  </si>
  <si>
    <t>0786009</t>
  </si>
  <si>
    <t>9003204</t>
  </si>
  <si>
    <t>0197120</t>
  </si>
  <si>
    <t>0089170</t>
  </si>
  <si>
    <t>00D1817</t>
  </si>
  <si>
    <t>9003657</t>
  </si>
  <si>
    <t>9003697</t>
  </si>
  <si>
    <t>00D1950</t>
  </si>
  <si>
    <t>6000173</t>
  </si>
  <si>
    <t>9003885</t>
  </si>
  <si>
    <t>01D1004</t>
  </si>
  <si>
    <t>4003381</t>
  </si>
  <si>
    <t>9003802</t>
  </si>
  <si>
    <t>9003545</t>
  </si>
  <si>
    <t>9003636</t>
  </si>
  <si>
    <t>C-88-018-11</t>
  </si>
  <si>
    <t>C-88-026-06</t>
  </si>
  <si>
    <t>C-88-028-13</t>
  </si>
  <si>
    <t>C-88-039-97</t>
  </si>
  <si>
    <t>C-88-041-95</t>
  </si>
  <si>
    <t>C-91-003-01</t>
  </si>
  <si>
    <t>C-91-011-15</t>
  </si>
  <si>
    <t>C-91-013-08</t>
  </si>
  <si>
    <t>C-91-013-10</t>
  </si>
  <si>
    <t>C-91-018-14</t>
  </si>
  <si>
    <t>C-91-022-10</t>
  </si>
  <si>
    <t>C-91-022-15</t>
  </si>
  <si>
    <t>C-91-038-11</t>
  </si>
  <si>
    <t>C-91-046-14</t>
  </si>
  <si>
    <t>C-91-050-02</t>
  </si>
  <si>
    <t>C-91-050-13</t>
  </si>
  <si>
    <t>C-91-060-12</t>
  </si>
  <si>
    <t>C-91-061-08</t>
  </si>
  <si>
    <t>C-91-069-06</t>
  </si>
  <si>
    <t>C-91-072-14</t>
  </si>
  <si>
    <t>C-91-073-08</t>
  </si>
  <si>
    <t>C-91-074-13</t>
  </si>
  <si>
    <t>C-91-074-14</t>
  </si>
  <si>
    <t>C-91-090-02</t>
  </si>
  <si>
    <t>C-91-091-12</t>
  </si>
  <si>
    <t>C-91-098-09</t>
  </si>
  <si>
    <t>C-91-109-14</t>
  </si>
  <si>
    <t>C-91-114-12</t>
  </si>
  <si>
    <t>C-91-118-13</t>
  </si>
  <si>
    <t>C-91-133-03</t>
  </si>
  <si>
    <t>C-91-139-03</t>
  </si>
  <si>
    <t>C-91-140-14</t>
  </si>
  <si>
    <t>C-91-144-13</t>
  </si>
  <si>
    <t>C-91-144-14</t>
  </si>
  <si>
    <t>C-91-147-10</t>
  </si>
  <si>
    <t>C-91-148-09</t>
  </si>
  <si>
    <t>C-91-152-14</t>
  </si>
  <si>
    <t>C-91-154-06</t>
  </si>
  <si>
    <t>C-91-157-06</t>
  </si>
  <si>
    <t>C-91-157-15</t>
  </si>
  <si>
    <t>C-91-158-15</t>
  </si>
  <si>
    <t>C-91-161-13</t>
  </si>
  <si>
    <t>C-91-161-15</t>
  </si>
  <si>
    <t>C-91-166-10</t>
  </si>
  <si>
    <t>C-91-168-13</t>
  </si>
  <si>
    <t>C-91-171-13</t>
  </si>
  <si>
    <t>C-91-177-09</t>
  </si>
  <si>
    <t>C-91-182-14</t>
  </si>
  <si>
    <t>C-91-182-15</t>
  </si>
  <si>
    <t>C-91-189-11</t>
  </si>
  <si>
    <t>C-91-191-07</t>
  </si>
  <si>
    <t>C-91-194-10</t>
  </si>
  <si>
    <t>C-91-197-09</t>
  </si>
  <si>
    <t>C-91-214-10</t>
  </si>
  <si>
    <t>C-91-216-12</t>
  </si>
  <si>
    <t>C-91-218-12</t>
  </si>
  <si>
    <t>C-91-219-09</t>
  </si>
  <si>
    <t>C-91-223-15</t>
  </si>
  <si>
    <t>C-91-226-13</t>
  </si>
  <si>
    <t>C-91-227-13</t>
  </si>
  <si>
    <t>C-91-231-10</t>
  </si>
  <si>
    <t>C-91-232-14</t>
  </si>
  <si>
    <t>C-91-234-12</t>
  </si>
  <si>
    <t>C-91-234-14</t>
  </si>
  <si>
    <t>C-91-237-14</t>
  </si>
  <si>
    <t>C-91-241-13</t>
  </si>
  <si>
    <t>C-91-246-15</t>
  </si>
  <si>
    <t>C-91-255-14</t>
  </si>
  <si>
    <t>C-91-260-12</t>
  </si>
  <si>
    <t>C-91-263-97</t>
  </si>
  <si>
    <t>C-91-264-13</t>
  </si>
  <si>
    <t>C-91-265-14</t>
  </si>
  <si>
    <t>C-91-267-15</t>
  </si>
  <si>
    <t>C-91-269-11</t>
  </si>
  <si>
    <t>C-91-270-06</t>
  </si>
  <si>
    <t>C-91-270-16</t>
  </si>
  <si>
    <t>C-91-271-16</t>
  </si>
  <si>
    <t>C-91-272-14</t>
  </si>
  <si>
    <t>C-91-275-15</t>
  </si>
  <si>
    <t>C-91-283-15</t>
  </si>
  <si>
    <t>C-91-284-12</t>
  </si>
  <si>
    <t>C-91-289-10</t>
  </si>
  <si>
    <t>C-91-300-13</t>
  </si>
  <si>
    <t>C-91-303-10</t>
  </si>
  <si>
    <t>C-91-306-13</t>
  </si>
  <si>
    <t>C-91-307-12</t>
  </si>
  <si>
    <t>C-91-308-13</t>
  </si>
  <si>
    <t>C-91-312-07</t>
  </si>
  <si>
    <t>C-91-317-15</t>
  </si>
  <si>
    <t>C-91-322-13</t>
  </si>
  <si>
    <t>C-91-332-13</t>
  </si>
  <si>
    <t>C-91-340-13</t>
  </si>
  <si>
    <t>C-91-342-06</t>
  </si>
  <si>
    <t>C-91-345-09</t>
  </si>
  <si>
    <t>C-91-351-12</t>
  </si>
  <si>
    <t>C-91-355-13</t>
  </si>
  <si>
    <t>C-91-357-06</t>
  </si>
  <si>
    <t>C-91-360-97</t>
  </si>
  <si>
    <t>C-91-380-12</t>
  </si>
  <si>
    <t>C-91-381-08</t>
  </si>
  <si>
    <t>C-91-385-12</t>
  </si>
  <si>
    <t>C-91-399-13</t>
  </si>
  <si>
    <t>C-91-401-08</t>
  </si>
  <si>
    <t>C-91-403-08</t>
  </si>
  <si>
    <t>C-91-406-12</t>
  </si>
  <si>
    <t>C-91-417-13</t>
  </si>
  <si>
    <t>C-91-426-13</t>
  </si>
  <si>
    <t>C-91-428-12</t>
  </si>
  <si>
    <t>C-91-429-12</t>
  </si>
  <si>
    <t>C-91-447-14</t>
  </si>
  <si>
    <t>C-91-465-12</t>
  </si>
  <si>
    <t>C-91-467-12</t>
  </si>
  <si>
    <t>C-91-468-11</t>
  </si>
  <si>
    <t>C-91-496-12</t>
  </si>
  <si>
    <t>C-91-498-08</t>
  </si>
  <si>
    <t>C-91-501-12</t>
  </si>
  <si>
    <t>C-91-508-12</t>
  </si>
  <si>
    <t>C-91-511-08</t>
  </si>
  <si>
    <t>C-91-512-10</t>
  </si>
  <si>
    <t>C-91-531-12</t>
  </si>
  <si>
    <t>C-91-534-99</t>
  </si>
  <si>
    <t>C-91-536-12</t>
  </si>
  <si>
    <t>C-91-541-12</t>
  </si>
  <si>
    <t>C-91-543-12</t>
  </si>
  <si>
    <t>C-91-545-12</t>
  </si>
  <si>
    <t>C-91-556-11</t>
  </si>
  <si>
    <t>C-91-556-12</t>
  </si>
  <si>
    <t>C-91-564-12</t>
  </si>
  <si>
    <t>C-91-566-12</t>
  </si>
  <si>
    <t>C-91-576-11</t>
  </si>
  <si>
    <t>C-91-576-12</t>
  </si>
  <si>
    <t>C-91-589-10</t>
  </si>
  <si>
    <t>C-91-594-11</t>
  </si>
  <si>
    <t>C-91-615-09</t>
  </si>
  <si>
    <t>C-91-658-10</t>
  </si>
  <si>
    <t>C-91-723-10</t>
  </si>
  <si>
    <t>C-93-011-10</t>
  </si>
  <si>
    <t>C-93-078-12</t>
  </si>
  <si>
    <t>C-93-102-14</t>
  </si>
  <si>
    <t>D-88-009-99</t>
  </si>
  <si>
    <t>D-91-157-06</t>
  </si>
  <si>
    <t>D-91-162-14</t>
  </si>
  <si>
    <t>D-91-189-11</t>
  </si>
  <si>
    <t>D-91-207-04</t>
  </si>
  <si>
    <t>D-91-219-12</t>
  </si>
  <si>
    <t>D-91-226-07</t>
  </si>
  <si>
    <t>D-91-262-09</t>
  </si>
  <si>
    <t>D-91-293-12</t>
  </si>
  <si>
    <t>D-91-294-13</t>
  </si>
  <si>
    <t>D-91-434-10</t>
  </si>
  <si>
    <t>D-91-605-10</t>
  </si>
  <si>
    <t>D-91-752-10</t>
  </si>
  <si>
    <t>P-88-009-14</t>
  </si>
  <si>
    <t>P-88-028-04</t>
  </si>
  <si>
    <t>P-91-148-12</t>
  </si>
  <si>
    <t>P-91-288-15</t>
  </si>
  <si>
    <t>P-91-444-14</t>
  </si>
  <si>
    <t>P-91-467-11</t>
  </si>
  <si>
    <t>R-90-006-10</t>
  </si>
  <si>
    <t>R-91-022-10</t>
  </si>
  <si>
    <t>11-B8128-00-SW</t>
  </si>
  <si>
    <t>05-B1501-00-PV</t>
  </si>
  <si>
    <t>11-B8113-00-RS</t>
  </si>
  <si>
    <t>98-E8506-00-BR</t>
  </si>
  <si>
    <t>93-E4442-00-BR</t>
  </si>
  <si>
    <t>2001-001BR</t>
  </si>
  <si>
    <t>(32-3-R&amp;305-302K)TS&amp;N-3</t>
  </si>
  <si>
    <t>07-00340-00-BR</t>
  </si>
  <si>
    <t>99-(1&amp;2)AC-R-3</t>
  </si>
  <si>
    <t>1618TS</t>
  </si>
  <si>
    <t>116Y-1-R-1</t>
  </si>
  <si>
    <t>2014-059-I</t>
  </si>
  <si>
    <t>3034-RS-6</t>
  </si>
  <si>
    <t>461TS-2(13)</t>
  </si>
  <si>
    <t>15VB-1-R-1</t>
  </si>
  <si>
    <t>12-00080-00-RS</t>
  </si>
  <si>
    <t>H-N</t>
  </si>
  <si>
    <t>08-00083-00-SW</t>
  </si>
  <si>
    <t>05-00161-00-CH</t>
  </si>
  <si>
    <t>13-00430-00-SP</t>
  </si>
  <si>
    <t>2424.2B-R</t>
  </si>
  <si>
    <t>12-LU001-00-SW</t>
  </si>
  <si>
    <t>2013-063TS</t>
  </si>
  <si>
    <t>109N-3</t>
  </si>
  <si>
    <t>11-00019-00-RS</t>
  </si>
  <si>
    <t>08-00355-00-BR</t>
  </si>
  <si>
    <t>13-00027-00-RS</t>
  </si>
  <si>
    <t>07-00122-01-PV</t>
  </si>
  <si>
    <t>12-00055-00-CH</t>
  </si>
  <si>
    <t>02-00077-00-SW</t>
  </si>
  <si>
    <t>01-00230-02-BR</t>
  </si>
  <si>
    <t>14R-1-P4</t>
  </si>
  <si>
    <t>12-00106-00-BT</t>
  </si>
  <si>
    <t>14R-1-P8</t>
  </si>
  <si>
    <t>09-00053-00-BR</t>
  </si>
  <si>
    <t>08-00107-01-PV</t>
  </si>
  <si>
    <t>13-00085-00-CH</t>
  </si>
  <si>
    <t>S-N</t>
  </si>
  <si>
    <t>05-00067-00-CH</t>
  </si>
  <si>
    <t>14-00031-00-RS</t>
  </si>
  <si>
    <t>14-00062-00-RS</t>
  </si>
  <si>
    <t>12-00048-00-RS</t>
  </si>
  <si>
    <t>14-00089-00-RS</t>
  </si>
  <si>
    <t>09-00999-07-TL</t>
  </si>
  <si>
    <t>2012-087-I</t>
  </si>
  <si>
    <t>13-00060-00-RS</t>
  </si>
  <si>
    <t>0303-474HB-R</t>
  </si>
  <si>
    <t>13-00080-00-LT</t>
  </si>
  <si>
    <t>14-00104-00-CH</t>
  </si>
  <si>
    <t>11-00034-00-BR</t>
  </si>
  <si>
    <t>07-00083-00-BR</t>
  </si>
  <si>
    <t>09-00426-00-BR</t>
  </si>
  <si>
    <t>08-14117-00-BR</t>
  </si>
  <si>
    <t>2009-112-I</t>
  </si>
  <si>
    <t>12-00035-00-RS</t>
  </si>
  <si>
    <t>11-00296-00-TL</t>
  </si>
  <si>
    <t>08-00201-00-BT</t>
  </si>
  <si>
    <t>14-00129-00-RS</t>
  </si>
  <si>
    <t>2013-007R</t>
  </si>
  <si>
    <t>2009-116I</t>
  </si>
  <si>
    <t>13-00300-00-PK</t>
  </si>
  <si>
    <t>(3127-1)N-1(14)</t>
  </si>
  <si>
    <t>116R-N</t>
  </si>
  <si>
    <t>09-P0075-15-BT</t>
  </si>
  <si>
    <t>14-00162-00-SP</t>
  </si>
  <si>
    <t>14-00092-00-RS</t>
  </si>
  <si>
    <t>08-00162-03-BR</t>
  </si>
  <si>
    <t>(26,26HB-1&amp;114)R-2</t>
  </si>
  <si>
    <t>VARIOUS</t>
  </si>
  <si>
    <t>12-00060-00-PV</t>
  </si>
  <si>
    <t>14-00087-00-RS</t>
  </si>
  <si>
    <t>18-B-4-R-2</t>
  </si>
  <si>
    <t>06-00008-00-BT</t>
  </si>
  <si>
    <t>2016-004GRR</t>
  </si>
  <si>
    <t>2016-005GRR</t>
  </si>
  <si>
    <t>2014-010DTR</t>
  </si>
  <si>
    <t>2015-008I</t>
  </si>
  <si>
    <t>1617B(13)</t>
  </si>
  <si>
    <t>33X-N(11)</t>
  </si>
  <si>
    <t>06-00151-00-BR</t>
  </si>
  <si>
    <t>13-00256-00-PV</t>
  </si>
  <si>
    <t>09-00078-00-WR</t>
  </si>
  <si>
    <t>2013-026-I</t>
  </si>
  <si>
    <t>23N-2</t>
  </si>
  <si>
    <t>2013-025-SG</t>
  </si>
  <si>
    <t>55WRS</t>
  </si>
  <si>
    <t>14-00164-00-BR</t>
  </si>
  <si>
    <t>6Y-TS&amp;N(13)</t>
  </si>
  <si>
    <t>13-00097-00-RS</t>
  </si>
  <si>
    <t>2013-024-I</t>
  </si>
  <si>
    <t>03-00052-00-PV</t>
  </si>
  <si>
    <t>04-00043-00-PV</t>
  </si>
  <si>
    <t>13R-1-P10</t>
  </si>
  <si>
    <t>06-00321-00-BR</t>
  </si>
  <si>
    <t>143 N</t>
  </si>
  <si>
    <t>12R-1-P6</t>
  </si>
  <si>
    <t>08-00057-00-BR</t>
  </si>
  <si>
    <t>RRS-2775(003)</t>
  </si>
  <si>
    <t>539N-1</t>
  </si>
  <si>
    <t>06-00104-01-WR</t>
  </si>
  <si>
    <t>06-00169-14-FP</t>
  </si>
  <si>
    <t>06-00214-18-RP</t>
  </si>
  <si>
    <t>2013-051 I</t>
  </si>
  <si>
    <t>2013-049B</t>
  </si>
  <si>
    <t>(461-Y)TS</t>
  </si>
  <si>
    <t>(56R-2) TS</t>
  </si>
  <si>
    <t>96-00014-01-PV</t>
  </si>
  <si>
    <t>12-00015-00-BT</t>
  </si>
  <si>
    <t>12-00262-00-TL</t>
  </si>
  <si>
    <t>2011-018-TS</t>
  </si>
  <si>
    <t>2012-042 TS</t>
  </si>
  <si>
    <t>32-2-R-N</t>
  </si>
  <si>
    <t>2012-052I</t>
  </si>
  <si>
    <t>(531-4HBK&amp;3041-15D-2-R)N</t>
  </si>
  <si>
    <t>08-00049-00-LS</t>
  </si>
  <si>
    <t>10-00116-00-SW</t>
  </si>
  <si>
    <t>131B-BR</t>
  </si>
  <si>
    <t>1112.1B</t>
  </si>
  <si>
    <t>534X-B</t>
  </si>
  <si>
    <t>112N-3</t>
  </si>
  <si>
    <t>2012-047I</t>
  </si>
  <si>
    <t>2012-044I</t>
  </si>
  <si>
    <t>08-00094-01-BR</t>
  </si>
  <si>
    <t>12-00036-00-RS</t>
  </si>
  <si>
    <t>11-00232-06-SP</t>
  </si>
  <si>
    <t>12-00097-00-RS</t>
  </si>
  <si>
    <t>11-00149-00-RS</t>
  </si>
  <si>
    <t>0303-RS&amp;N</t>
  </si>
  <si>
    <t>61HB-1-R</t>
  </si>
  <si>
    <t>2011-054-I</t>
  </si>
  <si>
    <t>3264-T</t>
  </si>
  <si>
    <t>652X-N-3</t>
  </si>
  <si>
    <t>09-00074-00-SP</t>
  </si>
  <si>
    <t>(13C &amp; 13)R &amp; T</t>
  </si>
  <si>
    <t>11-00045-00-BT</t>
  </si>
  <si>
    <t>07-00096-00-RP</t>
  </si>
  <si>
    <t>95-E5432-04-BR</t>
  </si>
  <si>
    <t>12-00220-03-BR</t>
  </si>
  <si>
    <t>03-00033-12-CH</t>
  </si>
  <si>
    <t>11-00048-00-SP</t>
  </si>
  <si>
    <t>86S-I-1</t>
  </si>
  <si>
    <t>08-00389-00-TL</t>
  </si>
  <si>
    <t>11-10108-01-BR</t>
  </si>
  <si>
    <t>12-00424-00-SP</t>
  </si>
  <si>
    <t>10-00055-00-BT</t>
  </si>
  <si>
    <t>09-00425-00-BR</t>
  </si>
  <si>
    <t>10-00154-00-BR</t>
  </si>
  <si>
    <t>13-S3332-00-BR</t>
  </si>
  <si>
    <t>04-E4201-00-BR</t>
  </si>
  <si>
    <t>11-00035-00-ES</t>
  </si>
  <si>
    <t>15-00064-00-SW</t>
  </si>
  <si>
    <t>14-00161-00-BR</t>
  </si>
  <si>
    <t>11-00443-00-BR</t>
  </si>
  <si>
    <t>09-00051-00-BT</t>
  </si>
  <si>
    <t>09-00030-00-BR</t>
  </si>
  <si>
    <t>FV</t>
  </si>
  <si>
    <t>MPA</t>
  </si>
  <si>
    <t>Original Obligation Date</t>
  </si>
  <si>
    <t>Current Version Date</t>
  </si>
  <si>
    <t>Change</t>
  </si>
  <si>
    <t>Federal Project ID</t>
  </si>
  <si>
    <t>Federal Program Code</t>
  </si>
  <si>
    <t>Federal Funds (CMAQ only)</t>
  </si>
  <si>
    <t>Total Funds (CMAQ Only)</t>
  </si>
  <si>
    <t>AC funds (current)</t>
  </si>
  <si>
    <t>Total funds (In AC Status, CMAQ Only)</t>
  </si>
  <si>
    <t>Change in Federal Funds (CMAQ Only)</t>
  </si>
  <si>
    <t>Change in AC Amount</t>
  </si>
  <si>
    <t>State Job #</t>
  </si>
  <si>
    <t>Description</t>
  </si>
  <si>
    <t>Last Checked</t>
  </si>
  <si>
    <t>In CMAQ DB</t>
  </si>
  <si>
    <t>6000231</t>
  </si>
  <si>
    <t>01-01-0011</t>
  </si>
  <si>
    <t>P-88-009-07</t>
  </si>
  <si>
    <t>Chicago Bicycle &amp; Ped. Ed. Program</t>
  </si>
  <si>
    <t>Yes</t>
  </si>
  <si>
    <t>6000122</t>
  </si>
  <si>
    <t>Q400</t>
  </si>
  <si>
    <t>01-01-0013</t>
  </si>
  <si>
    <t>D-88-043-01</t>
  </si>
  <si>
    <t>20 Transit Station Areas</t>
  </si>
  <si>
    <t>AC Conv</t>
  </si>
  <si>
    <t>6000443</t>
  </si>
  <si>
    <t>L40E/M400/M40E</t>
  </si>
  <si>
    <t>C-88-003-09</t>
  </si>
  <si>
    <t>35th St Ped Bridge</t>
  </si>
  <si>
    <t>35th St and LSD</t>
  </si>
  <si>
    <t>6000318</t>
  </si>
  <si>
    <t>01-05-0001</t>
  </si>
  <si>
    <t>C-88-016-10</t>
  </si>
  <si>
    <t>Various Ped. Improvements</t>
  </si>
  <si>
    <t>6000275</t>
  </si>
  <si>
    <t>D-88-015-08</t>
  </si>
  <si>
    <t xml:space="preserve">Bike/Ped Bridge </t>
  </si>
  <si>
    <t>41st at LSD</t>
  </si>
  <si>
    <t>9003099</t>
  </si>
  <si>
    <t>01-08-0001</t>
  </si>
  <si>
    <t>C-91-047-09</t>
  </si>
  <si>
    <t>Path</t>
  </si>
  <si>
    <t>N. Branch Trail, Devon to Foster CCFP</t>
  </si>
  <si>
    <t>6000404</t>
  </si>
  <si>
    <t>01-08-0003</t>
  </si>
  <si>
    <t>C-88-001-13</t>
  </si>
  <si>
    <t xml:space="preserve">Sole Source procurement of ATC </t>
  </si>
  <si>
    <t>at 361 intersections throughout Chicago</t>
  </si>
  <si>
    <t>6000308</t>
  </si>
  <si>
    <t>L40E/M40E</t>
  </si>
  <si>
    <t>01-09-0002</t>
  </si>
  <si>
    <t>P-88-006-10</t>
  </si>
  <si>
    <t>Weber Spur Trail</t>
  </si>
  <si>
    <t>Devon Ave to Bryn Mawr Ave</t>
  </si>
  <si>
    <t>01-09-0006</t>
  </si>
  <si>
    <t>C-91-347-10</t>
  </si>
  <si>
    <t>GenSets (2)</t>
  </si>
  <si>
    <t>Amtrack's Chicago Yard</t>
  </si>
  <si>
    <t>0557264</t>
  </si>
  <si>
    <t>C-91-544-12</t>
  </si>
  <si>
    <t>Sweeping</t>
  </si>
  <si>
    <t>I-55 from I-355 to Kedzie Ave</t>
  </si>
  <si>
    <t>AC Conv/MPA</t>
  </si>
  <si>
    <t>6000355</t>
  </si>
  <si>
    <t>01-12-0003</t>
  </si>
  <si>
    <t>C-88-008-12</t>
  </si>
  <si>
    <t>Bike Sharing Program</t>
  </si>
  <si>
    <t>6000467</t>
  </si>
  <si>
    <t>C-88-027-14</t>
  </si>
  <si>
    <t>Divvy Bike Expansion Program - 2014</t>
  </si>
  <si>
    <t>6000197</t>
  </si>
  <si>
    <t>H400</t>
  </si>
  <si>
    <t>01-94-0045</t>
  </si>
  <si>
    <t>C-88-024-06</t>
  </si>
  <si>
    <t>Bike Racks</t>
  </si>
  <si>
    <t>6000479</t>
  </si>
  <si>
    <t>C-88-006-15</t>
  </si>
  <si>
    <t>6000453</t>
  </si>
  <si>
    <t>01-94-0092</t>
  </si>
  <si>
    <t>C-88-011-14</t>
  </si>
  <si>
    <t>Street for Cycling #1</t>
  </si>
  <si>
    <t>6000465</t>
  </si>
  <si>
    <t>P-88-026-14</t>
  </si>
  <si>
    <t>Street for Cycling phase IV #3.</t>
  </si>
  <si>
    <t>6000464</t>
  </si>
  <si>
    <t>P-88-025-14</t>
  </si>
  <si>
    <t>Streets for cycling phase IV #2.</t>
  </si>
  <si>
    <t>6000412</t>
  </si>
  <si>
    <t>L400/L40E/M400/M40E</t>
  </si>
  <si>
    <t>C-88-012-13</t>
  </si>
  <si>
    <t>Streets for Cycling, Project # 2</t>
  </si>
  <si>
    <t>6000422</t>
  </si>
  <si>
    <t>Other</t>
  </si>
  <si>
    <t>C-88-001-14</t>
  </si>
  <si>
    <t>Streets for Cycling Project 2-Group B</t>
  </si>
  <si>
    <t>M40E/M400</t>
  </si>
  <si>
    <t>6000463</t>
  </si>
  <si>
    <t>H400/L400/M400/M40E</t>
  </si>
  <si>
    <t>P-88-024-14</t>
  </si>
  <si>
    <t>Streets for Cycling Phase IV #1</t>
  </si>
  <si>
    <t>6000099</t>
  </si>
  <si>
    <t>L400/Q400</t>
  </si>
  <si>
    <t>01-99-0014</t>
  </si>
  <si>
    <t>P-88-039-00</t>
  </si>
  <si>
    <t>Greenwood Rd at Glenview Rd</t>
  </si>
  <si>
    <t>4003237</t>
  </si>
  <si>
    <t>02-06-0034</t>
  </si>
  <si>
    <t>C-91-065-14</t>
  </si>
  <si>
    <t>Emerson St from Green Bay Rd. to Ridge Ave. and Green Bay Rd. from Emerson St. to McCormick Blvd.</t>
  </si>
  <si>
    <t>ACC Conv</t>
  </si>
  <si>
    <t>9003130</t>
  </si>
  <si>
    <t>02-08-0001</t>
  </si>
  <si>
    <t>C-91-157-09</t>
  </si>
  <si>
    <t>Techny Trail</t>
  </si>
  <si>
    <t>Union Pacific Corr. from Devon to Touhy Av</t>
  </si>
  <si>
    <t>9003546</t>
  </si>
  <si>
    <t>D-91-286-10</t>
  </si>
  <si>
    <t>Trail</t>
  </si>
  <si>
    <t>UP RR: Devon to Touhy</t>
  </si>
  <si>
    <t>4003092</t>
  </si>
  <si>
    <t>C-91-046-13</t>
  </si>
  <si>
    <t>Ped. Path</t>
  </si>
  <si>
    <t xml:space="preserve">Lincolnwood </t>
  </si>
  <si>
    <t>9003541</t>
  </si>
  <si>
    <t>02-10-0002</t>
  </si>
  <si>
    <t>P-91-287-10</t>
  </si>
  <si>
    <t>Comm Ed Bike Trail</t>
  </si>
  <si>
    <t>9003543</t>
  </si>
  <si>
    <t>C-91-287-10</t>
  </si>
  <si>
    <t>Lincolnwood Utility ROW Valley Bike Multiuse Trail</t>
  </si>
  <si>
    <t>0343029</t>
  </si>
  <si>
    <t>02-12-0001</t>
  </si>
  <si>
    <t>C-91-509-12</t>
  </si>
  <si>
    <t>4003023</t>
  </si>
  <si>
    <t>02-12-0003</t>
  </si>
  <si>
    <t>P-91-435-12</t>
  </si>
  <si>
    <t>over Touhy Ave</t>
  </si>
  <si>
    <t>4003024</t>
  </si>
  <si>
    <t>D-91-435-12</t>
  </si>
  <si>
    <t>Bicycle overpass</t>
  </si>
  <si>
    <t>Touhy Ave Bike/Ped Overpass (Skokie Valley Bike Trail)</t>
  </si>
  <si>
    <t>4003050</t>
  </si>
  <si>
    <t>02-12-0004</t>
  </si>
  <si>
    <t>C-91-468-12</t>
  </si>
  <si>
    <t>Pedestrian Path</t>
  </si>
  <si>
    <t>Old Orchard Rd</t>
  </si>
  <si>
    <t>Deferred in CMAQ DB</t>
  </si>
  <si>
    <t>Traffic Signals</t>
  </si>
  <si>
    <t>Dempster Rd in Evanston</t>
  </si>
  <si>
    <t>4003046</t>
  </si>
  <si>
    <t>P-91-467-12</t>
  </si>
  <si>
    <t>Dempster Rd from Fowler to Ridge</t>
  </si>
  <si>
    <t>4003047</t>
  </si>
  <si>
    <t>D-91-467-12</t>
  </si>
  <si>
    <t>4003494</t>
  </si>
  <si>
    <t>02-14-0001</t>
  </si>
  <si>
    <t>C-91-266-15</t>
  </si>
  <si>
    <t>On Street Bike Lane</t>
  </si>
  <si>
    <t>Dodge Ave from Howard St to Church St</t>
  </si>
  <si>
    <t>4003090</t>
  </si>
  <si>
    <t>D-91-034-13</t>
  </si>
  <si>
    <t>Bicycle Lanes</t>
  </si>
  <si>
    <t>Central from Wold Rd to E. River Rd</t>
  </si>
  <si>
    <t>1321021</t>
  </si>
  <si>
    <t>L400/L40E</t>
  </si>
  <si>
    <t>03-09-0009</t>
  </si>
  <si>
    <t>C-91-659-10</t>
  </si>
  <si>
    <t>Irving Park Rd</t>
  </si>
  <si>
    <t>0343026</t>
  </si>
  <si>
    <t>03-12-0001</t>
  </si>
  <si>
    <t>C-91-489-12</t>
  </si>
  <si>
    <t>IL 68 at Barrington Rd</t>
  </si>
  <si>
    <t>Turn Lanes</t>
  </si>
  <si>
    <t>Il 62 at Barrington Rd</t>
  </si>
  <si>
    <t>9003979</t>
  </si>
  <si>
    <t>03-12-0005</t>
  </si>
  <si>
    <t>D-91-324-12</t>
  </si>
  <si>
    <t>Sidewalk Replacement</t>
  </si>
  <si>
    <t>Ballard Rd from Bender Rd to Good Ave</t>
  </si>
  <si>
    <t>0362006</t>
  </si>
  <si>
    <t>03-12-0006</t>
  </si>
  <si>
    <t>R-90-004-13</t>
  </si>
  <si>
    <t>Barrington Rd at Bode Rd</t>
  </si>
  <si>
    <t>IL 68 at N. Wilke Rd and Kennicott</t>
  </si>
  <si>
    <t>0343028</t>
  </si>
  <si>
    <t>C-91-133-13</t>
  </si>
  <si>
    <t>IL 68 at IL 83 in Wheeling</t>
  </si>
  <si>
    <t>0343039</t>
  </si>
  <si>
    <t>C-91-132-13</t>
  </si>
  <si>
    <t>0339034</t>
  </si>
  <si>
    <t>03-14-0004</t>
  </si>
  <si>
    <t>R-90-007-14</t>
  </si>
  <si>
    <t>IL 58 (Golf Rd)</t>
  </si>
  <si>
    <t>03-14-0005</t>
  </si>
  <si>
    <t>C-91-417-14</t>
  </si>
  <si>
    <t>Golf Rd from Ring Rd to New Wilke Rd</t>
  </si>
  <si>
    <t>4003375</t>
  </si>
  <si>
    <t>0090403</t>
  </si>
  <si>
    <t>c</t>
  </si>
  <si>
    <t>c-91-376-14</t>
  </si>
  <si>
    <t>New Lane</t>
  </si>
  <si>
    <t>Also has NHPP funds</t>
  </si>
  <si>
    <t>9003074</t>
  </si>
  <si>
    <t>04-08-0001</t>
  </si>
  <si>
    <t>P-91-553-08</t>
  </si>
  <si>
    <t>9003076</t>
  </si>
  <si>
    <t>C-91-553-08</t>
  </si>
  <si>
    <t>9003623</t>
  </si>
  <si>
    <t>L400/L40R</t>
  </si>
  <si>
    <t>04-10-0001</t>
  </si>
  <si>
    <t>C-91-495-10</t>
  </si>
  <si>
    <t>Division St, Chicago Ave, Augusta Blvd</t>
  </si>
  <si>
    <t>4003140</t>
  </si>
  <si>
    <t>04-12-0005</t>
  </si>
  <si>
    <t>C-91-154-13</t>
  </si>
  <si>
    <t>Village of Oak Park</t>
  </si>
  <si>
    <t>4003277</t>
  </si>
  <si>
    <t>04-14-0002</t>
  </si>
  <si>
    <t>C-91-211-14</t>
  </si>
  <si>
    <t>Maywood Metra Station</t>
  </si>
  <si>
    <t>Maywood</t>
  </si>
  <si>
    <t>4003610</t>
  </si>
  <si>
    <t>05-14-0001</t>
  </si>
  <si>
    <t>D-91-114-16</t>
  </si>
  <si>
    <t>Stone Ave Metra Station</t>
  </si>
  <si>
    <t>9003673</t>
  </si>
  <si>
    <t>06-06-0061</t>
  </si>
  <si>
    <t>D-91-683-10</t>
  </si>
  <si>
    <t>Cal-Sag</t>
  </si>
  <si>
    <t>IL 83 on the W. Alsip boat ramp</t>
  </si>
  <si>
    <t>4003129</t>
  </si>
  <si>
    <t>R-90-011-13</t>
  </si>
  <si>
    <t>9003693</t>
  </si>
  <si>
    <t>M003</t>
  </si>
  <si>
    <t>06-09-0004</t>
  </si>
  <si>
    <t>C-91-732-10</t>
  </si>
  <si>
    <t>Also has $6,952,401 in CMAQ not PM2.5 (L40E)</t>
  </si>
  <si>
    <t>0330064</t>
  </si>
  <si>
    <t>06-09-0056</t>
  </si>
  <si>
    <t>C-91-538-10</t>
  </si>
  <si>
    <t>right turn lane</t>
  </si>
  <si>
    <t>115th St at Pulaski Rd</t>
  </si>
  <si>
    <t>IL 43 at 151st St</t>
  </si>
  <si>
    <t>4003336</t>
  </si>
  <si>
    <t>06-14-0001</t>
  </si>
  <si>
    <t>C-91-315-14</t>
  </si>
  <si>
    <t>Various locations in Palos Heights</t>
  </si>
  <si>
    <t>9003852</t>
  </si>
  <si>
    <t>07-01-0004</t>
  </si>
  <si>
    <t>C-91-519-01</t>
  </si>
  <si>
    <t>Old Plank Rd Rd Trail</t>
  </si>
  <si>
    <t>Chicago Heights</t>
  </si>
  <si>
    <t>000S905</t>
  </si>
  <si>
    <t>07-10-0003</t>
  </si>
  <si>
    <t>C-91-488-12</t>
  </si>
  <si>
    <t>4003331</t>
  </si>
  <si>
    <t>07-14-0009</t>
  </si>
  <si>
    <t>C-91-313-14</t>
  </si>
  <si>
    <t>Signs and Pavement Markings</t>
  </si>
  <si>
    <t>4003527</t>
  </si>
  <si>
    <t>07-14-0010</t>
  </si>
  <si>
    <t>C-91-363-15</t>
  </si>
  <si>
    <t>Purchase of 12 Compressed Natural Gas Vehicles</t>
  </si>
  <si>
    <t>4003710</t>
  </si>
  <si>
    <t>07-16-0003</t>
  </si>
  <si>
    <t>D-91-244-16</t>
  </si>
  <si>
    <t>Access to Transit</t>
  </si>
  <si>
    <t>Midlothian</t>
  </si>
  <si>
    <t>4003744</t>
  </si>
  <si>
    <t>07-16-0005</t>
  </si>
  <si>
    <t>D-91-283-16</t>
  </si>
  <si>
    <t>Sauk Trail from Karlov Ave to Richton Sq.; Governors Highway from Poplar Ave to Sauk Trail; Richton Rd from Sauk Trail to Poplar Ave</t>
  </si>
  <si>
    <t>4003716</t>
  </si>
  <si>
    <t>07-16-0006</t>
  </si>
  <si>
    <t>D-91-253-16</t>
  </si>
  <si>
    <t>University Park Metra Transit Access Improvements</t>
  </si>
  <si>
    <t>4003013</t>
  </si>
  <si>
    <t>C-91-404-12</t>
  </si>
  <si>
    <t>University Parkway at Cicero Ave</t>
  </si>
  <si>
    <t>4003296</t>
  </si>
  <si>
    <t>08-00-0020</t>
  </si>
  <si>
    <t>C-91-281-14</t>
  </si>
  <si>
    <t>Eola Rd from 83rd St to 87th St</t>
  </si>
  <si>
    <t>8003979</t>
  </si>
  <si>
    <t>08-00-0049</t>
  </si>
  <si>
    <t>C-91-354-08</t>
  </si>
  <si>
    <t>Roosevelt from Michigan Ave to Ardomer Ave</t>
  </si>
  <si>
    <t>Supplemental FV</t>
  </si>
  <si>
    <t>08-09-0016</t>
  </si>
  <si>
    <t>C-91-538-13</t>
  </si>
  <si>
    <t>75th St from Adams to Plainfield</t>
  </si>
  <si>
    <t>Also has $1,158,370 in STP funds</t>
  </si>
  <si>
    <t>4003505</t>
  </si>
  <si>
    <t>C-91-306-15</t>
  </si>
  <si>
    <t>75st St  from Adams to Plainfield Rd</t>
  </si>
  <si>
    <t>4003525</t>
  </si>
  <si>
    <t>08-11-0017</t>
  </si>
  <si>
    <t>C-91-351-15</t>
  </si>
  <si>
    <t>Widening &amp; RS</t>
  </si>
  <si>
    <t>Church St from Grand to Jefferson</t>
  </si>
  <si>
    <t>Also has 524,153 in STP-L</t>
  </si>
  <si>
    <t>4003479</t>
  </si>
  <si>
    <t>08-12-0004</t>
  </si>
  <si>
    <t>R-91-007-15</t>
  </si>
  <si>
    <t>55th St from Dunham Rd to Claredon Hills</t>
  </si>
  <si>
    <t>4003108</t>
  </si>
  <si>
    <t>08-12-0005</t>
  </si>
  <si>
    <t>C-91-085-13</t>
  </si>
  <si>
    <t>Schmale Rd from Fullerton Ave to Bloomingdale Ct</t>
  </si>
  <si>
    <t>4003136</t>
  </si>
  <si>
    <t>08-12-0006</t>
  </si>
  <si>
    <t>C-91-145-13</t>
  </si>
  <si>
    <t>Fabyan Pkwy at IL 38</t>
  </si>
  <si>
    <t>4003067</t>
  </si>
  <si>
    <t>08-12-0009</t>
  </si>
  <si>
    <t>C-91-498-12</t>
  </si>
  <si>
    <t>4003109</t>
  </si>
  <si>
    <t>08-12-0011</t>
  </si>
  <si>
    <t>D-91-096-13</t>
  </si>
  <si>
    <t>4003110</t>
  </si>
  <si>
    <t>C-91-096-13</t>
  </si>
  <si>
    <t>IL 59 at Browning Way</t>
  </si>
  <si>
    <t>4003228</t>
  </si>
  <si>
    <t>08-13-0014</t>
  </si>
  <si>
    <t>C-91-026-14</t>
  </si>
  <si>
    <t>Signal Improvements</t>
  </si>
  <si>
    <t>Washington St. Cooridor in Naperville</t>
  </si>
  <si>
    <t>4003229</t>
  </si>
  <si>
    <t>08-13-0015</t>
  </si>
  <si>
    <t>C-91-027-14</t>
  </si>
  <si>
    <t>4003324</t>
  </si>
  <si>
    <t>08-14-0002</t>
  </si>
  <si>
    <t>D-91-294-14</t>
  </si>
  <si>
    <t>Bike Trail</t>
  </si>
  <si>
    <t>W. Branch DuPage River</t>
  </si>
  <si>
    <t>4003295</t>
  </si>
  <si>
    <t>08-14-0003</t>
  </si>
  <si>
    <t>C-91-251-14</t>
  </si>
  <si>
    <t>Pedestrian Crosswalks</t>
  </si>
  <si>
    <t>Il 38 at IL 53</t>
  </si>
  <si>
    <t>8003740</t>
  </si>
  <si>
    <t>09-03-0001</t>
  </si>
  <si>
    <t>C-91-103-07</t>
  </si>
  <si>
    <t>Randall Rd @ Fabyan Pkwy</t>
  </si>
  <si>
    <t>8003711</t>
  </si>
  <si>
    <t>09-06-0003</t>
  </si>
  <si>
    <t>C-91-056-07</t>
  </si>
  <si>
    <t>Randall Rd at US 20</t>
  </si>
  <si>
    <t>FMIS TIP ID is incorrect (09-06-0064)</t>
  </si>
  <si>
    <t>8003832</t>
  </si>
  <si>
    <t>09-06-0068</t>
  </si>
  <si>
    <t>C-91-331-07</t>
  </si>
  <si>
    <t>IL 47 at Burlington Rd</t>
  </si>
  <si>
    <t>9003135</t>
  </si>
  <si>
    <t>09-08-0002</t>
  </si>
  <si>
    <t>R-91-009-09</t>
  </si>
  <si>
    <t>Kirk at Douglas</t>
  </si>
  <si>
    <t>9003141</t>
  </si>
  <si>
    <t>09-08-0003</t>
  </si>
  <si>
    <t>C-91-165-09</t>
  </si>
  <si>
    <t>Main St at Nelson Lake</t>
  </si>
  <si>
    <t>C-91-262-09</t>
  </si>
  <si>
    <t>Randall Rd @ Burlington Rd</t>
  </si>
  <si>
    <t>Project reopened for invoice processing, then closed, no changes</t>
  </si>
  <si>
    <t>9003581</t>
  </si>
  <si>
    <t>09-10-0002</t>
  </si>
  <si>
    <t>C-91-358-10</t>
  </si>
  <si>
    <t>Sleepy Hollow Rd</t>
  </si>
  <si>
    <t>9003626</t>
  </si>
  <si>
    <t>09-10-0003</t>
  </si>
  <si>
    <t>D-91-496-10</t>
  </si>
  <si>
    <t>9003634</t>
  </si>
  <si>
    <t>09-10-0005</t>
  </si>
  <si>
    <t>C-91-506-10</t>
  </si>
  <si>
    <t>Dunham at Kirk (22 intersections)</t>
  </si>
  <si>
    <t>4003036</t>
  </si>
  <si>
    <t>09-11-0013</t>
  </si>
  <si>
    <t>C-91-453-12</t>
  </si>
  <si>
    <t>Arterial Operations Center Building</t>
  </si>
  <si>
    <t>Kane DOT</t>
  </si>
  <si>
    <t>Eola Rd from Wolf's Crossing to New York St.</t>
  </si>
  <si>
    <t>4003014</t>
  </si>
  <si>
    <t>09-12-0006</t>
  </si>
  <si>
    <t>P-91-389-12</t>
  </si>
  <si>
    <t>Mill Rd from Orcahrd Rd to IL 31</t>
  </si>
  <si>
    <t>4003094</t>
  </si>
  <si>
    <t>09-12-0010</t>
  </si>
  <si>
    <t>C-91-051-13</t>
  </si>
  <si>
    <t>bicycle racks</t>
  </si>
  <si>
    <t>kane county</t>
  </si>
  <si>
    <t>4003006</t>
  </si>
  <si>
    <t>09-12-0011</t>
  </si>
  <si>
    <t>D-91-362-12</t>
  </si>
  <si>
    <t>Fabyan</t>
  </si>
  <si>
    <t>Rt 59 Metra Station</t>
  </si>
  <si>
    <t>00D1667</t>
  </si>
  <si>
    <t>09-94-0068</t>
  </si>
  <si>
    <t>C-91-127-06</t>
  </si>
  <si>
    <t>Aurora Bike Trail</t>
  </si>
  <si>
    <t>9003063</t>
  </si>
  <si>
    <t>10-00-0128</t>
  </si>
  <si>
    <t>D-91-513-08</t>
  </si>
  <si>
    <t>River and Roberts Rd</t>
  </si>
  <si>
    <t>0334014</t>
  </si>
  <si>
    <t>10-02-0007</t>
  </si>
  <si>
    <t>C-91-107-02</t>
  </si>
  <si>
    <t>Rand at Ela Rd</t>
  </si>
  <si>
    <t>9003348</t>
  </si>
  <si>
    <t>10-04-0003</t>
  </si>
  <si>
    <t>C-91-662-09</t>
  </si>
  <si>
    <t>MLK Dr to Belvidere Rd</t>
  </si>
  <si>
    <t>8003473</t>
  </si>
  <si>
    <t>10-05-0004</t>
  </si>
  <si>
    <t>C-91-114-05</t>
  </si>
  <si>
    <t>Hunt Club Rd</t>
  </si>
  <si>
    <t>9003073</t>
  </si>
  <si>
    <t>10-06-0062</t>
  </si>
  <si>
    <t>C-91-542-08</t>
  </si>
  <si>
    <t>Grand Ave</t>
  </si>
  <si>
    <t>8003839</t>
  </si>
  <si>
    <t>D-91-061-08</t>
  </si>
  <si>
    <t>US 45 from Hawthorne Blvd</t>
  </si>
  <si>
    <t>Rollins Rd from US 12 to Lotus Dr</t>
  </si>
  <si>
    <t>0305044</t>
  </si>
  <si>
    <t>10-09-0011</t>
  </si>
  <si>
    <t>C-91-443-10</t>
  </si>
  <si>
    <t>US 14 &amp; Kelsey Rd</t>
  </si>
  <si>
    <t>patrols</t>
  </si>
  <si>
    <t>9003559</t>
  </si>
  <si>
    <t>10-10-0002</t>
  </si>
  <si>
    <t>Ei</t>
  </si>
  <si>
    <t>P-91-326-10</t>
  </si>
  <si>
    <t>Atkinson to Lancer</t>
  </si>
  <si>
    <t>9003557</t>
  </si>
  <si>
    <t>10-10-0003</t>
  </si>
  <si>
    <t>D-91-325-10</t>
  </si>
  <si>
    <t>IL 176 to Peterson Rd Bike Path</t>
  </si>
  <si>
    <t>9003558</t>
  </si>
  <si>
    <t>C-91-325-10</t>
  </si>
  <si>
    <t>Midlothian Rd at IL 176</t>
  </si>
  <si>
    <t>9003854</t>
  </si>
  <si>
    <t>10-11-0040, 10-06-0003</t>
  </si>
  <si>
    <t>C-91-019-12</t>
  </si>
  <si>
    <t>Deerfield Rd from IL 43 to US 41</t>
  </si>
  <si>
    <t>0343040</t>
  </si>
  <si>
    <t>10-12-0005</t>
  </si>
  <si>
    <t>C-91-134-13</t>
  </si>
  <si>
    <t>IL 68 at Buffalo Grove Rd</t>
  </si>
  <si>
    <t>Pedestrian Underpass</t>
  </si>
  <si>
    <t>Grass Lake Rd</t>
  </si>
  <si>
    <t>0333001</t>
  </si>
  <si>
    <t>10-14-0004</t>
  </si>
  <si>
    <t>R-91-016-11</t>
  </si>
  <si>
    <t>IL 120 @ Hainesville Rd</t>
  </si>
  <si>
    <t>4003543</t>
  </si>
  <si>
    <t>10-14-0009</t>
  </si>
  <si>
    <t>C-91-411-15</t>
  </si>
  <si>
    <t>IL 43 (Waukegan Rd)</t>
  </si>
  <si>
    <t>IL 31 and IL 120</t>
  </si>
  <si>
    <t>7003965</t>
  </si>
  <si>
    <t>11-03-0019</t>
  </si>
  <si>
    <t>C-91-374-00</t>
  </si>
  <si>
    <t>9003506</t>
  </si>
  <si>
    <t>11-06-0032</t>
  </si>
  <si>
    <t>D-91-102-07</t>
  </si>
  <si>
    <t>9003484</t>
  </si>
  <si>
    <t>11-07-0001</t>
  </si>
  <si>
    <t>C-91-072-10</t>
  </si>
  <si>
    <t>Metra Parking station</t>
  </si>
  <si>
    <t>9003107</t>
  </si>
  <si>
    <t>11-07-0010</t>
  </si>
  <si>
    <t>C-91-105-09</t>
  </si>
  <si>
    <t>Hanson Rd</t>
  </si>
  <si>
    <t>Also has STP-L</t>
  </si>
  <si>
    <t>Multi-use Path</t>
  </si>
  <si>
    <t>Edgewood Dr from IL 31 to ahnson Rd</t>
  </si>
  <si>
    <t>9003959</t>
  </si>
  <si>
    <t>11-12-0006</t>
  </si>
  <si>
    <t>D-91-257-12</t>
  </si>
  <si>
    <t>Multi-Use Bridge</t>
  </si>
  <si>
    <t>over Randall Rd at Bunker Hill Rd</t>
  </si>
  <si>
    <t>4003756</t>
  </si>
  <si>
    <t>11-96-0007</t>
  </si>
  <si>
    <t>D-91-303-16</t>
  </si>
  <si>
    <t>Ridgefield Trace bike path at Oak Street in McHenry County Conservation District</t>
  </si>
  <si>
    <t>Parker Rd from 143rd St to 135th St.</t>
  </si>
  <si>
    <t>9003599</t>
  </si>
  <si>
    <t>12-10-0001</t>
  </si>
  <si>
    <t>D-91-421-10</t>
  </si>
  <si>
    <t>135th and New Ave</t>
  </si>
  <si>
    <t>4003778</t>
  </si>
  <si>
    <t>C-91-337-16</t>
  </si>
  <si>
    <t>Romeoville Metra Station</t>
  </si>
  <si>
    <t>9003997</t>
  </si>
  <si>
    <t>12-12-0001</t>
  </si>
  <si>
    <t>D-91-352-12</t>
  </si>
  <si>
    <t>DuPage River Trail</t>
  </si>
  <si>
    <t>Segment 5 95th to Knoch Knoll</t>
  </si>
  <si>
    <t>9003998</t>
  </si>
  <si>
    <t>C-91-352-12</t>
  </si>
  <si>
    <t>New Trail</t>
  </si>
  <si>
    <t>DuPage River, 95th St to Knoch Knoll</t>
  </si>
  <si>
    <t>Homer Glen Trail</t>
  </si>
  <si>
    <t>159th to Martingale</t>
  </si>
  <si>
    <t>0575185</t>
  </si>
  <si>
    <t>12-12-0006</t>
  </si>
  <si>
    <t>C-91-184-13</t>
  </si>
  <si>
    <t>I-55/US 30</t>
  </si>
  <si>
    <t>US 6 at Parker Rd</t>
  </si>
  <si>
    <t>9003692</t>
  </si>
  <si>
    <t>13-10-0005</t>
  </si>
  <si>
    <t>C-91-731-10</t>
  </si>
  <si>
    <t>710 ECO low-emmissions locomotives</t>
  </si>
  <si>
    <t>Fiber Optics, Cameras</t>
  </si>
  <si>
    <t>I-55 from Lorenzo Rd to I-88</t>
  </si>
  <si>
    <t>0556243</t>
  </si>
  <si>
    <t>C-91-344-10</t>
  </si>
  <si>
    <t>6000468</t>
  </si>
  <si>
    <t>13-14-0001</t>
  </si>
  <si>
    <t>P-75-002-14</t>
  </si>
  <si>
    <t>Chicago Area Green Fleet</t>
  </si>
  <si>
    <t>P-75-002-15</t>
  </si>
  <si>
    <t>Agency</t>
  </si>
  <si>
    <t>Mode</t>
  </si>
  <si>
    <t>Note</t>
  </si>
  <si>
    <t>01-02-0030</t>
  </si>
  <si>
    <t>CDOT</t>
  </si>
  <si>
    <t>CMAQ</t>
  </si>
  <si>
    <t>IL-2016-002-01-00</t>
  </si>
  <si>
    <t>Transit Station/Stop Improvements</t>
  </si>
  <si>
    <t>16-00-0004</t>
  </si>
  <si>
    <t>CTA</t>
  </si>
  <si>
    <t>IMP</t>
  </si>
  <si>
    <t>IL-2016-025-01-00</t>
  </si>
  <si>
    <t>16 Mid-Life Bus Overhaul-Artic Hybrids</t>
  </si>
  <si>
    <t>IL-2016-035-01-00</t>
  </si>
  <si>
    <t>Bus Overhaul</t>
  </si>
  <si>
    <t>IL-34-0006-01</t>
  </si>
  <si>
    <t>IL-90-X738-01</t>
  </si>
  <si>
    <t>Engineering</t>
  </si>
  <si>
    <t>16-00-0006</t>
  </si>
  <si>
    <t>IL-2016-023-09-01</t>
  </si>
  <si>
    <t>IL-2016-025-02-00</t>
  </si>
  <si>
    <t>IL-54-0005-01</t>
  </si>
  <si>
    <t>No</t>
  </si>
  <si>
    <t>n/a</t>
  </si>
  <si>
    <t>16-00-0030</t>
  </si>
  <si>
    <t>IL-2016-023-02-01</t>
  </si>
  <si>
    <t>IL-2016-025-07-00</t>
  </si>
  <si>
    <t>Rehabilitate Signals Systemwide</t>
  </si>
  <si>
    <t>16-01-0008</t>
  </si>
  <si>
    <t>Program Management</t>
  </si>
  <si>
    <t>IL-2016-023-05-01</t>
  </si>
  <si>
    <t>Program Management Consultant</t>
  </si>
  <si>
    <t>IL-2016-025-09-00</t>
  </si>
  <si>
    <t>Project Management</t>
  </si>
  <si>
    <t>UWP</t>
  </si>
  <si>
    <t>16-02-0004</t>
  </si>
  <si>
    <t>Rehabilitate Rail Stations - Systemwide</t>
  </si>
  <si>
    <t>IL-2016-025-10-00</t>
  </si>
  <si>
    <t>16-03-0014</t>
  </si>
  <si>
    <t>CTA Bond Payment</t>
  </si>
  <si>
    <t>IL-2016-023-03-01</t>
  </si>
  <si>
    <t>IL-2016-025-03-00</t>
  </si>
  <si>
    <t>16-12-0009</t>
  </si>
  <si>
    <t>IL-2016-035-02-00</t>
  </si>
  <si>
    <t xml:space="preserve">Bus Maintenance Activities </t>
  </si>
  <si>
    <t>16-13-0003</t>
  </si>
  <si>
    <t>Purchase Equipment &amp; Non-revenue Vehicles</t>
  </si>
  <si>
    <t>16-13-0004</t>
  </si>
  <si>
    <t>95th St Station Rehabilitation</t>
  </si>
  <si>
    <t>IL-2016-023-07-01</t>
  </si>
  <si>
    <t>16-14-0001</t>
  </si>
  <si>
    <t>16-14-0007</t>
  </si>
  <si>
    <t>IL-2016-023-08-01</t>
  </si>
  <si>
    <t>16-15-0005</t>
  </si>
  <si>
    <t>Rail car (series 2600) purchase and installation</t>
  </si>
  <si>
    <t>IL-2016-023-06-01</t>
  </si>
  <si>
    <t>16-96-0061</t>
  </si>
  <si>
    <t>IL-2016-025-05-00</t>
  </si>
  <si>
    <t>16-98-0003</t>
  </si>
  <si>
    <t>IL-2016-025-04-00</t>
  </si>
  <si>
    <t>Upgrade Office Computer Systems</t>
  </si>
  <si>
    <t>Upgrade/Support Computer Systems</t>
  </si>
  <si>
    <t>16-98-0015</t>
  </si>
  <si>
    <t>IL-2016-025-08-00</t>
  </si>
  <si>
    <t>North Main Line Track Renewal between Lawrence and Jarvis</t>
  </si>
  <si>
    <t>16-99-0002</t>
  </si>
  <si>
    <t>CON</t>
  </si>
  <si>
    <t>IL-2016-023-04-01</t>
  </si>
  <si>
    <t>IL-2016-025-06-00</t>
  </si>
  <si>
    <t>Pace</t>
  </si>
  <si>
    <t>17-94-0008</t>
  </si>
  <si>
    <t>IL-2016-029-01-00</t>
  </si>
  <si>
    <t>17-94-0009</t>
  </si>
  <si>
    <t>Purchase up to 25 replacement paratransit vehicles</t>
  </si>
  <si>
    <t>IL-2016-030-01-00</t>
  </si>
  <si>
    <t>18-06-9112</t>
  </si>
  <si>
    <t>Metra</t>
  </si>
  <si>
    <t>IL-2016-021-01-00</t>
  </si>
  <si>
    <t>Rehabilitation of Locomotives</t>
  </si>
  <si>
    <t>IL-2016-020-01-00</t>
  </si>
  <si>
    <t>18-08-2500</t>
  </si>
  <si>
    <t>18-10-0006</t>
  </si>
  <si>
    <t>Rolling Stock Improvements</t>
  </si>
  <si>
    <t>Rehabilitation of Bi-Level Rail Cars</t>
  </si>
  <si>
    <t>18-10-0034</t>
  </si>
  <si>
    <t>IL-2016-020-02-00</t>
  </si>
  <si>
    <t>Engineering of various Positive Train Control systems and components</t>
  </si>
  <si>
    <t>Positive Train Control systems and components</t>
  </si>
  <si>
    <t>Positive Train Control (PTC) and contingencies</t>
  </si>
  <si>
    <t>IL-2016-021-02-00</t>
  </si>
  <si>
    <t>18-10-0040</t>
  </si>
  <si>
    <t>18-10-0044</t>
  </si>
  <si>
    <t>IT infrastructure and financial system replacement</t>
  </si>
  <si>
    <t>18-10-0046</t>
  </si>
  <si>
    <t>Calumet Station Rehabilitation</t>
  </si>
  <si>
    <t>18-10-0055</t>
  </si>
  <si>
    <t>Contingencies and administration</t>
  </si>
  <si>
    <t>18-14-0001</t>
  </si>
  <si>
    <t>IL-2016-019-01-00</t>
  </si>
  <si>
    <t>18-16-0001</t>
  </si>
  <si>
    <t>18-16-0002</t>
  </si>
  <si>
    <t>18-16-0003</t>
  </si>
  <si>
    <t>18-16-0004</t>
  </si>
  <si>
    <t>18-16-0005</t>
  </si>
  <si>
    <t>Wheel Replacements for Rail Cars</t>
  </si>
  <si>
    <t>18-16-0006</t>
  </si>
  <si>
    <t>New Bi-level cars</t>
  </si>
  <si>
    <t>18-16-0007</t>
  </si>
  <si>
    <t>Positive Train Control (PTC) MED and Track Improvements (RID)</t>
  </si>
  <si>
    <t>18-16-0008</t>
  </si>
  <si>
    <t>Track Improvements (MWD, RID, MED)</t>
  </si>
  <si>
    <t>18-16-0009</t>
  </si>
  <si>
    <t>18-16-0011</t>
  </si>
  <si>
    <t>Bridge Rehabilitation (MWD, RID, MED, UPR)</t>
  </si>
  <si>
    <t>18-16-0012</t>
  </si>
  <si>
    <t>18-16-0013</t>
  </si>
  <si>
    <t>18-16-0014</t>
  </si>
  <si>
    <t>18-16-0015</t>
  </si>
  <si>
    <t>18-16-0017</t>
  </si>
  <si>
    <t>Improvements to various electrical distribution facilities on the Metra Electric District</t>
  </si>
  <si>
    <t>18-16-0019</t>
  </si>
  <si>
    <t>18-16-0020</t>
  </si>
  <si>
    <t>18-16-0022</t>
  </si>
  <si>
    <t>Project management</t>
  </si>
  <si>
    <t>18-16-0023</t>
  </si>
  <si>
    <t>Station Signs</t>
  </si>
  <si>
    <t>18-16-0026</t>
  </si>
  <si>
    <t>Project management and infrastructure engineering</t>
  </si>
  <si>
    <t>18-16-0027</t>
  </si>
  <si>
    <t>IL-2016-001-01-00</t>
  </si>
  <si>
    <t>Agency ID</t>
  </si>
  <si>
    <t>TIP FFY</t>
  </si>
  <si>
    <t>FTA Project #</t>
  </si>
  <si>
    <t>Scope Name/Code</t>
  </si>
  <si>
    <t>ALI Code</t>
  </si>
  <si>
    <t>FHWA to FTA Transfer Date</t>
  </si>
  <si>
    <t>Project or Amendment Creation Date</t>
  </si>
  <si>
    <t>Last Modified Date</t>
  </si>
  <si>
    <t>Award/Application Status</t>
  </si>
  <si>
    <t>Fund</t>
  </si>
  <si>
    <t>Match (funds)</t>
  </si>
  <si>
    <t>Match (TDC)</t>
  </si>
  <si>
    <t>Total</t>
  </si>
  <si>
    <t>Expenditures/ Disbursements</t>
  </si>
  <si>
    <t>Document</t>
  </si>
  <si>
    <t>Metra #</t>
  </si>
  <si>
    <t>Last checked</t>
  </si>
  <si>
    <t>Active (Executed)</t>
  </si>
  <si>
    <t>Metra\JG_5005-2016-5_TIPLookupReport.pdf</t>
  </si>
  <si>
    <t>Not in FFY 15 Obligation Report</t>
  </si>
  <si>
    <t>127-00 Other Capital Items (Rail)</t>
  </si>
  <si>
    <t>Metra\JE_5005-2016-4_TIPLookupReport.pdf</t>
  </si>
  <si>
    <t>Postive Train Control (PTC) purchases and installation, updgraded signal system and new interlocker control componenets.</t>
  </si>
  <si>
    <t>124-00 Support Equip/Facilities (Rail)</t>
  </si>
  <si>
    <t>12.44.01</t>
  </si>
  <si>
    <t xml:space="preserve">Building improvements and upgrades to Metra central headquarters </t>
  </si>
  <si>
    <t>12.72.08</t>
  </si>
  <si>
    <t>Rehabilitation of the right-of way, including fencing along the right of way, construction services.</t>
  </si>
  <si>
    <t>Digital Recoding system</t>
  </si>
  <si>
    <t>12.71.03</t>
  </si>
  <si>
    <t>Purchase of vehicles and equipment to be utilized by Metra’s Mechanical Department at various yard and shop locations throughout the Metra system</t>
  </si>
  <si>
    <t>Purchase of various office equipment, information technology equipment, and financial system software</t>
  </si>
  <si>
    <t>Purchase of various office equipment and furniture</t>
  </si>
  <si>
    <t xml:space="preserve">Various building improvements and upgrades to Metra central headquarters. </t>
  </si>
  <si>
    <t xml:space="preserve">Chicago Urbanized Area funding totals $81,699,173 and Round Lake Beach Urbanized Area funding totals $6,008,646. </t>
  </si>
  <si>
    <t>126-00 Signal/Communication (Rail)</t>
  </si>
  <si>
    <t>12.64.01</t>
  </si>
  <si>
    <t>127-00 Other Capital Items</t>
  </si>
  <si>
    <t>121-00 Rail Rolling Stock, 127-00 Other Capital</t>
  </si>
  <si>
    <t>122-00 Rail Transitway Lines</t>
  </si>
  <si>
    <t>12.24.05</t>
  </si>
  <si>
    <t>Bridge Rehabilitation UP North</t>
  </si>
  <si>
    <t>Track Improvements on Metra Electric Distict.</t>
  </si>
  <si>
    <t>121-00 Rail Rolling Stock</t>
  </si>
  <si>
    <t>Rehabilitation of Metra Electric Rail Cars</t>
  </si>
  <si>
    <t>122-00 Rail Transitway Lines, 127-00 Other Capital Items</t>
  </si>
  <si>
    <t>Rehabilitation of the right-of way, including tie and ballast installation, crossing surface renewals, new rail, and other improvements to the track bed on various lines on the Metra system</t>
  </si>
  <si>
    <t>12.42.11</t>
  </si>
  <si>
    <t>Earth Moving equipment, end loaders, etc. to be utilized by Metra throughout the Metra system</t>
  </si>
  <si>
    <t>123-00 Rail Station/Stops/Terminals</t>
  </si>
  <si>
    <t>12.34.02</t>
  </si>
  <si>
    <t>West Chicago Station Rehabilitation and ADA Improvements</t>
  </si>
  <si>
    <t>12.71.02</t>
  </si>
  <si>
    <t>Engineering on the MWD, RID, and MED rail lines.</t>
  </si>
  <si>
    <t>12.73.00, 12.79.00</t>
  </si>
  <si>
    <t>121-00 Rail-Rolling Stock</t>
  </si>
  <si>
    <t>12.14.24</t>
  </si>
  <si>
    <t>Rebuild of ten (10) F40PH/F40PHM locomotives.  The scope of work funded through this Congestion Mitigation &amp; Air Quality (CMAQ) grant is the repowering of the locomotives.</t>
  </si>
  <si>
    <t>126-00 Signal Communication (Rail)</t>
  </si>
  <si>
    <t>$2,038,899 deboligated on 6/20/173</t>
  </si>
  <si>
    <t>12.72.03, 12.72.09</t>
  </si>
  <si>
    <t>$3,639,900 from FFY 15 and $23,500,000 in FFY 16</t>
  </si>
  <si>
    <t>10-10-0055</t>
  </si>
  <si>
    <t>12.73.00</t>
  </si>
  <si>
    <t>IL-2016-023-01-01</t>
  </si>
  <si>
    <t>124-00 Support Equip/Facilities (Rail) A2</t>
  </si>
  <si>
    <t>IT upgrades and support</t>
  </si>
  <si>
    <t>Deobligated on 7/5/17</t>
  </si>
  <si>
    <t>127-00 Other Capital Items (Rail) A1</t>
  </si>
  <si>
    <t>126-00 Signal/Communication (Rail) B5</t>
  </si>
  <si>
    <t>12.64.20</t>
  </si>
  <si>
    <t>Brown Line signal rehab</t>
  </si>
  <si>
    <t>127-00 Other Capital Items (Rail) A3</t>
  </si>
  <si>
    <t>12.79.00</t>
  </si>
  <si>
    <t>127-00 Other Capital Items (Rail) A4</t>
  </si>
  <si>
    <t>12.71.11</t>
  </si>
  <si>
    <t>127-00 Other Capital Items (Rail) A5</t>
  </si>
  <si>
    <t>Improve Rail Facilities: The project will target items such as rail hoist replacement and inspection pit rehabilitation, roof replacements, and HVAC system upgrades, among other upgrades. CTA Rail Yards to be improved may include the following: Des Plaines, Harlem, Howard, Kimball, Linden, Racine, Rosemont, Wilson, 54th, 61st, 98th, Midway and Skokie Shops.</t>
  </si>
  <si>
    <t>121-00 Rail - Rolling Stock</t>
  </si>
  <si>
    <t>12.12.21</t>
  </si>
  <si>
    <t>Also has TIFIA Loan</t>
  </si>
  <si>
    <t>Engineering, design services and project management to purchase rail cars</t>
  </si>
  <si>
    <t>Has other funding: IL-04-0081 Bus Livability Grant $10,000,000, IL-79-0005  TIGER (IV) Grant 18,194,670, TIFIA Loan 79,200,000, Future Federal Formula 9,605,330</t>
  </si>
  <si>
    <t>12.71.11. 12.72.11</t>
  </si>
  <si>
    <t>Signal upgrades on Blue line from Jefferson Park to O'Hare Airport</t>
  </si>
  <si>
    <t>$4,083,778 deobligated on 6/13/17</t>
  </si>
  <si>
    <t>12.70.02, 12.72.02, 12.72.11, 12.73.00, 12.79.00</t>
  </si>
  <si>
    <t>Engineering for signal upgrades on Blue line from Jefferson Park to O'Hare Airport</t>
  </si>
  <si>
    <t>12.72.02, 12.72.11, 12.79.00</t>
  </si>
  <si>
    <t>Perform Rail Car Mid-Life Overhaul – Rehab 3200 Series</t>
  </si>
  <si>
    <t>12.15.21</t>
  </si>
  <si>
    <t>111-00 Bus - Rolling Stock, 117-00 Other Capital Items (Bus)</t>
  </si>
  <si>
    <t>11.14.06, 11.71.02. 11.72.11, 11.79.00</t>
  </si>
  <si>
    <t>Mid-Life Overhaul of CTA buses</t>
  </si>
  <si>
    <t>Purchase and installation of components for initial grouping of 3200 Series cars which are scheduled for the mid-life overhaul.</t>
  </si>
  <si>
    <t>124-00 Support Equip/Facilities (Rail), 127-00 Other Capital Items (Rail)</t>
  </si>
  <si>
    <t>12.42.07, 12.72.02, 12.72.11, 12.79.00</t>
  </si>
  <si>
    <t>11.12.01, 11.16.01, 11.16.06, 11.72.02, 11.72.11, 11.79.00</t>
  </si>
  <si>
    <t>Provided for replacement of 295 buses and the lease of 200 diesel standard (40ft.) buses and 150 Artic Hybrid (60ft).</t>
  </si>
  <si>
    <t>12.46.01, 12.71.01, 12.71.11, 12.72.02, 12.72.11, 12.73.00, 12.79.00</t>
  </si>
  <si>
    <t xml:space="preserve">Provide for capitalized lease payments for the new administration building, and improvements and upgrades to existing facilities. </t>
  </si>
  <si>
    <t>126-00 Signal/Communication (Rail), 127-00 Other Capital Items (Rail)</t>
  </si>
  <si>
    <t>12.64.20, 12.79.00</t>
  </si>
  <si>
    <t>Replacement of signal equipment, including signal cabling, signal platforms, and communication systems on a 2.7-mile elevated segment of track known as the Ravenswood Loop Collector (RLC).</t>
  </si>
  <si>
    <t>122-00 Rail Transitway Lines, 127-00 Other Capital Items (Rail)</t>
  </si>
  <si>
    <t>12.24.06, 12.72.11, 12.79.00</t>
  </si>
  <si>
    <t>Identification and correction of deficiencies in the CTA's rapid transit infrastructure. CTA will inspect and evaluate track and structure and prioritize needs at site location.</t>
  </si>
  <si>
    <t>12.71.02, 12.79.00</t>
  </si>
  <si>
    <t>123-00 Rail, 127-00 Other Rail</t>
  </si>
  <si>
    <t>12.34.02, 12.71.02</t>
  </si>
  <si>
    <t>Rehabilitate Rail Stations - Systemewide</t>
  </si>
  <si>
    <t>Rehabilitate Rail Stations - 95th St Station</t>
  </si>
  <si>
    <t>IL-2016-033-01-00</t>
  </si>
  <si>
    <t>111-00 Bus - Rolling Stock</t>
  </si>
  <si>
    <t>11.12.01</t>
  </si>
  <si>
    <t>Purchase and installation of a hybrid-electric engine verses a diesel engine for the purchase of approximately 25 fully accessible 40-foot articulated buses.  PO # IL-95-X048</t>
  </si>
  <si>
    <t>either was IL-95-X040-00 or is related to this grant</t>
  </si>
  <si>
    <t>117-00 Other Capital Items (Bus)</t>
  </si>
  <si>
    <t>11.72.02, 11.72.11, 11.79.00</t>
  </si>
  <si>
    <t>11.72.11</t>
  </si>
  <si>
    <t xml:space="preserve">Rebuilding or purchase and installation of components for the bus fleet to correct critical defects and operational deficiencies discovered during inspection of the CTA bus fleet. </t>
  </si>
  <si>
    <t>Also using lasping 5337 funds</t>
  </si>
  <si>
    <t>11.71.11, 11.72.11, 11.79.00</t>
  </si>
  <si>
    <t>11.14.06, 11.71.02, 11.72.02, 11.79.00</t>
  </si>
  <si>
    <t>In FFY 15 Ob report</t>
  </si>
  <si>
    <t>12.71.02, 12.72.11, 12.79.00</t>
  </si>
  <si>
    <t>Elevated Track and Structure Systemwide</t>
  </si>
  <si>
    <t>121-00 Rail - Rolling Stock, 127-00 Other Capital Items (Rail)</t>
  </si>
  <si>
    <t>12.14.21, 12.71.11, 12.72.02, 12.72.11, 12.79.00</t>
  </si>
  <si>
    <t>Rail Car Overhaul</t>
  </si>
  <si>
    <t>12.42.07, 12.71.02, 12.72.02, 12.72.11, 12.79.00</t>
  </si>
  <si>
    <t>Bond Payment</t>
  </si>
  <si>
    <t>12.71.11, 12.72.02, 12.72.11, 12.79.00</t>
  </si>
  <si>
    <t>442-00 Metropolitan Planning</t>
  </si>
  <si>
    <t>44.22.00</t>
  </si>
  <si>
    <t>UWP Funds</t>
  </si>
  <si>
    <t>UWP Funds: The Red/Purple Line Modernization Phase One TOD plan.  Pilot Program for TOD Planning</t>
  </si>
  <si>
    <t>112-00 Bus Transitways/Lines, 117-00 Other capital Items (Bus)</t>
  </si>
  <si>
    <t>11.12.01, 11.72.02, 11.72.11, 11.79.00</t>
  </si>
  <si>
    <t>Purchase 40ft Busses (5)</t>
  </si>
  <si>
    <t>Amendment #1</t>
  </si>
  <si>
    <t>114-00 Bus: Support Equip and Facilities</t>
  </si>
  <si>
    <t>11.14.06</t>
  </si>
  <si>
    <t>11.14.06, 11.72.02, 11.72.11, 11.79.00</t>
  </si>
  <si>
    <t xml:space="preserve">Rehabilitate articulated buses, purchase equipment &amp; non-revenue vehicles </t>
  </si>
  <si>
    <t>2016 grant amendment for $41,842,891 (11/30/15).  $83,277,791 was obligated as part of the original grant on 9/24/15</t>
  </si>
  <si>
    <t>11.71.02</t>
  </si>
  <si>
    <t>11.12.01, 11.72.11, 11.79.00</t>
  </si>
  <si>
    <t xml:space="preserve">Purchase 10 fully accessible buses </t>
  </si>
  <si>
    <t>12.71.11, 12.79.00</t>
  </si>
  <si>
    <t>12.71.02, 12.71.11, 12.72.02, 12.72.11, 12.79.00</t>
  </si>
  <si>
    <t>12.71.11, 12.72.02</t>
  </si>
  <si>
    <t>111-00 BUS - ROLLING STOCK</t>
  </si>
  <si>
    <t>11.12.01, 11.12.04, 11.13.01</t>
  </si>
  <si>
    <t>Purchase of up to 77 40' diesel buses and 3 Over the Road (OTR) coach buses for Pace's fixed route services,  including associated equipment such as surveillance system units, and the purchase of 11 replacement light duty paratransit buses.</t>
  </si>
  <si>
    <t>11.12.04</t>
  </si>
  <si>
    <t>123-00 Rail-Stations/Stops/Terminals</t>
  </si>
  <si>
    <t>12.31.02</t>
  </si>
  <si>
    <t>EII, Environmental review and preliminary design of the State/Lake Loop Station Reconstruction Project</t>
  </si>
  <si>
    <t>Awarded on 7/18/16</t>
  </si>
  <si>
    <t>12.72.01</t>
  </si>
  <si>
    <t>no</t>
  </si>
  <si>
    <t>New Project</t>
  </si>
  <si>
    <t>Pending</t>
  </si>
  <si>
    <t>14-00089-00-SW</t>
  </si>
  <si>
    <t>1-11017-0009</t>
  </si>
  <si>
    <t>LaGrange</t>
  </si>
  <si>
    <t>Central</t>
  </si>
  <si>
    <t>95-E5454-00-BR</t>
  </si>
  <si>
    <t>1-0957-0000</t>
  </si>
  <si>
    <t>C-88-027-13</t>
  </si>
  <si>
    <t>6000428</t>
  </si>
  <si>
    <t>STP-Local</t>
  </si>
  <si>
    <t>over Metra/IC RR and Lake Shore Dr</t>
  </si>
  <si>
    <t>Oakwood Blvd</t>
  </si>
  <si>
    <t>01-96-0031</t>
  </si>
  <si>
    <t>1-0957-0003</t>
  </si>
  <si>
    <t>08-12103-02-BR</t>
  </si>
  <si>
    <t>1-21421-0000</t>
  </si>
  <si>
    <t>C-91-358-13</t>
  </si>
  <si>
    <t>4003204</t>
  </si>
  <si>
    <t>M2E2</t>
  </si>
  <si>
    <t>over Fitchie Creek</t>
  </si>
  <si>
    <t>Nesler Rd</t>
  </si>
  <si>
    <t>Plato Twp</t>
  </si>
  <si>
    <t>09-13-0009</t>
  </si>
  <si>
    <t>09-00184-00-SW</t>
  </si>
  <si>
    <t>0-01688-1005</t>
  </si>
  <si>
    <t>C-91-106-14</t>
  </si>
  <si>
    <t>4009268</t>
  </si>
  <si>
    <t>SR2S</t>
  </si>
  <si>
    <t>along 123rd St</t>
  </si>
  <si>
    <t>SW</t>
  </si>
  <si>
    <t>06-09-0064</t>
  </si>
  <si>
    <t>Pending change</t>
  </si>
  <si>
    <t>Project Change</t>
  </si>
  <si>
    <t>15-00071-00-RS</t>
  </si>
  <si>
    <t>1-21873-0000</t>
  </si>
  <si>
    <t>C-91-135-16</t>
  </si>
  <si>
    <t>4003622</t>
  </si>
  <si>
    <t>RS</t>
  </si>
  <si>
    <t>Center Dr to 75th St</t>
  </si>
  <si>
    <t>Woodridge Dr</t>
  </si>
  <si>
    <t>Woodridge</t>
  </si>
  <si>
    <t>DuPage</t>
  </si>
  <si>
    <t>08-14-0020</t>
  </si>
  <si>
    <t>16R-1-P3</t>
  </si>
  <si>
    <t>C-91-133-16</t>
  </si>
  <si>
    <t>0438001</t>
  </si>
  <si>
    <t>MS50</t>
  </si>
  <si>
    <t>RHGC</t>
  </si>
  <si>
    <t>Railroad Crossing Improvement</t>
  </si>
  <si>
    <t>CC&amp;P RR</t>
  </si>
  <si>
    <t>15-16-0003</t>
  </si>
  <si>
    <t>16R-1-P2</t>
  </si>
  <si>
    <t>0-01542-1002</t>
  </si>
  <si>
    <t>C-91-132-16</t>
  </si>
  <si>
    <t>2742007</t>
  </si>
  <si>
    <t>RR Crossing Improvements</t>
  </si>
  <si>
    <t>north of IL 64</t>
  </si>
  <si>
    <t>5th Ave</t>
  </si>
  <si>
    <t>08-00178-01-BR</t>
  </si>
  <si>
    <t>1-21824-0003</t>
  </si>
  <si>
    <t>C-91-095-16</t>
  </si>
  <si>
    <t>4003598</t>
  </si>
  <si>
    <t>RP-Earmark</t>
  </si>
  <si>
    <t>Bike/Ped. Bridge</t>
  </si>
  <si>
    <t>Chatham St</t>
  </si>
  <si>
    <t>1-21824-0000</t>
  </si>
  <si>
    <t>Note in TIP has $626,287,000 in non-participating cost for Water-main replacement.  Match is 70/30</t>
  </si>
  <si>
    <t>14-00275-05-RS</t>
  </si>
  <si>
    <t>1-21826-0000</t>
  </si>
  <si>
    <t>C-91-317-14</t>
  </si>
  <si>
    <t>4003337</t>
  </si>
  <si>
    <t>Maning Rd to Cass Ave</t>
  </si>
  <si>
    <t>Darien</t>
  </si>
  <si>
    <t>08-13-0028</t>
  </si>
  <si>
    <t>Repurposed HPP Funds replaced STP-L funds</t>
  </si>
  <si>
    <t>RPS9</t>
  </si>
  <si>
    <t>14-00081-00-MS</t>
  </si>
  <si>
    <t>0-01727-1045</t>
  </si>
  <si>
    <t>C-91-072-15</t>
  </si>
  <si>
    <t>00D1985</t>
  </si>
  <si>
    <t>M3E2</t>
  </si>
  <si>
    <t>TAP-State</t>
  </si>
  <si>
    <t>Roof Replacement</t>
  </si>
  <si>
    <t>Riverside Train Station</t>
  </si>
  <si>
    <t>05-14-0002</t>
  </si>
  <si>
    <t>0-01727-1044</t>
  </si>
  <si>
    <t>534R-1-N</t>
  </si>
  <si>
    <t>0-00889-1002</t>
  </si>
  <si>
    <t>C-91-147-14</t>
  </si>
  <si>
    <t>0870017</t>
  </si>
  <si>
    <t>at Royce Rd</t>
  </si>
  <si>
    <t>Will</t>
  </si>
  <si>
    <t>12-12-0008</t>
  </si>
  <si>
    <t>12-00024-00-FP</t>
  </si>
  <si>
    <t>1-21263-0003</t>
  </si>
  <si>
    <t>C-91-342-12</t>
  </si>
  <si>
    <t>9003990</t>
  </si>
  <si>
    <t>Reconstruction, Addition of Bi-Directional Ln, Roundabout, etc.</t>
  </si>
  <si>
    <t>Monee-Manhattan Rd to Governor's Hwy</t>
  </si>
  <si>
    <t>Egyptian Trail</t>
  </si>
  <si>
    <t>12-11-0047</t>
  </si>
  <si>
    <t>55/45 match</t>
  </si>
  <si>
    <t>14-00182-00-RS</t>
  </si>
  <si>
    <t>1-21742-0000</t>
  </si>
  <si>
    <t>C-91-085-15</t>
  </si>
  <si>
    <t>4003408</t>
  </si>
  <si>
    <t>West Ave to Willow Rd</t>
  </si>
  <si>
    <t>First St</t>
  </si>
  <si>
    <t>Elmhurst</t>
  </si>
  <si>
    <t>08-13-0037</t>
  </si>
  <si>
    <t>Match is 70/30</t>
  </si>
  <si>
    <t>11-00092-01-TL</t>
  </si>
  <si>
    <t>1-21827-0000</t>
  </si>
  <si>
    <t>C-91-109-16</t>
  </si>
  <si>
    <t>4003611</t>
  </si>
  <si>
    <t>Richfield Rd to Jewel-Osco Plaza</t>
  </si>
  <si>
    <t>Deerfield Rd</t>
  </si>
  <si>
    <t>Deerfield</t>
  </si>
  <si>
    <t>10-11-0040</t>
  </si>
  <si>
    <t>14-W4124-00-BT</t>
  </si>
  <si>
    <t>1-11017-0008</t>
  </si>
  <si>
    <t>Citywide commuter bike parking and promotion</t>
  </si>
  <si>
    <t>2012-043BP</t>
  </si>
  <si>
    <t>1-78158-0000</t>
  </si>
  <si>
    <t>C-91-528-12</t>
  </si>
  <si>
    <t>0094406</t>
  </si>
  <si>
    <t>Cleaning and Painting</t>
  </si>
  <si>
    <t>13th St to Cermak Rd</t>
  </si>
  <si>
    <t>I-90/94</t>
  </si>
  <si>
    <t>01-09-0030</t>
  </si>
  <si>
    <t>1-78158-0003</t>
  </si>
  <si>
    <t>15-00054-00-TL</t>
  </si>
  <si>
    <t>1-21898-0001</t>
  </si>
  <si>
    <t>P-91-197-16</t>
  </si>
  <si>
    <t>4003662</t>
  </si>
  <si>
    <t>at Ridgeland Ave</t>
  </si>
  <si>
    <t>99th Ave</t>
  </si>
  <si>
    <t>06-16-0008</t>
  </si>
  <si>
    <t>08-00178-02-BT</t>
  </si>
  <si>
    <t>0-01727-1035</t>
  </si>
  <si>
    <t>C-91-091-16</t>
  </si>
  <si>
    <t>01D1059</t>
  </si>
  <si>
    <t>M3E1</t>
  </si>
  <si>
    <t>TAP-Local</t>
  </si>
  <si>
    <t>Bike/Ped. Facility</t>
  </si>
  <si>
    <t xml:space="preserve">Ashland Ave East across the Little Calumet River to Halsted St </t>
  </si>
  <si>
    <t>Cal-Sag Greenway</t>
  </si>
  <si>
    <t>0-01727-1034</t>
  </si>
  <si>
    <t>2016-049I</t>
  </si>
  <si>
    <t>1-77629-2000</t>
  </si>
  <si>
    <t>C-91-461-16</t>
  </si>
  <si>
    <t>0055457</t>
  </si>
  <si>
    <t>Region</t>
  </si>
  <si>
    <t>08-16-0035</t>
  </si>
  <si>
    <t>1-77629-2003</t>
  </si>
  <si>
    <t>14-00010-00-WR</t>
  </si>
  <si>
    <t>3-10529-0000</t>
  </si>
  <si>
    <t>C-93-019-15</t>
  </si>
  <si>
    <t>4003410</t>
  </si>
  <si>
    <t>Wideing and Resurfacing</t>
  </si>
  <si>
    <t>1,100 Ft east of Will Rd to 3,400 east of Will Rd</t>
  </si>
  <si>
    <t>IL 113</t>
  </si>
  <si>
    <t>Diamond</t>
  </si>
  <si>
    <t>12-14-0021</t>
  </si>
  <si>
    <t>3-10529-0003</t>
  </si>
  <si>
    <t>HPR-66-018-17</t>
  </si>
  <si>
    <t>3000056</t>
  </si>
  <si>
    <t>MP77</t>
  </si>
  <si>
    <t>CMAP Planning Funds</t>
  </si>
  <si>
    <t>CMAP</t>
  </si>
  <si>
    <t>M450</t>
  </si>
  <si>
    <t>H450</t>
  </si>
  <si>
    <t>2016-018RS</t>
  </si>
  <si>
    <t>1-79105-0003</t>
  </si>
  <si>
    <t>C-91-036-15</t>
  </si>
  <si>
    <t>0007081</t>
  </si>
  <si>
    <t>STP-Urban</t>
  </si>
  <si>
    <t>Lemont Rd from Bluff Rd to S of Illinois St and on Illinois St from New Ave to Main St</t>
  </si>
  <si>
    <t>Illinois St, Lemont Rd</t>
  </si>
  <si>
    <t>15-00092-00-CH</t>
  </si>
  <si>
    <t>1-21809-0002</t>
  </si>
  <si>
    <t>D-91-009-15</t>
  </si>
  <si>
    <t>4003567</t>
  </si>
  <si>
    <t>at Locust Ave</t>
  </si>
  <si>
    <t>US 12/20/45</t>
  </si>
  <si>
    <t>05-15-0003</t>
  </si>
  <si>
    <t>repurposed HPP Funds replaced STP-L funds</t>
  </si>
  <si>
    <t>15-00128-00-RS</t>
  </si>
  <si>
    <t>1-21825-0003</t>
  </si>
  <si>
    <t>C-91-279-15</t>
  </si>
  <si>
    <t>4003500</t>
  </si>
  <si>
    <t>Eberly Ave to Maple Ave</t>
  </si>
  <si>
    <t>Shields Ave</t>
  </si>
  <si>
    <t>05-15-0008</t>
  </si>
  <si>
    <t>RPF</t>
  </si>
  <si>
    <t>98-B8215-05-RS</t>
  </si>
  <si>
    <t>1-21390-0002</t>
  </si>
  <si>
    <t>D-88-036-13</t>
  </si>
  <si>
    <t>6000435</t>
  </si>
  <si>
    <t>Belmont Ave to Logan Blvd</t>
  </si>
  <si>
    <t>Milwaukee Ave</t>
  </si>
  <si>
    <t>01-98-0072</t>
  </si>
  <si>
    <t>1-74805-0490, 1-78714-0004</t>
  </si>
  <si>
    <t>R-91-021-14</t>
  </si>
  <si>
    <t>0870016</t>
  </si>
  <si>
    <t>10-00056-00-BT</t>
  </si>
  <si>
    <t>0-01727-3008</t>
  </si>
  <si>
    <t>C-93-112-15</t>
  </si>
  <si>
    <t>00D3093</t>
  </si>
  <si>
    <t>STP-Enhancements</t>
  </si>
  <si>
    <t>East of Aux Sable Dr</t>
  </si>
  <si>
    <t>Adjacent to McEvilly Rd</t>
  </si>
  <si>
    <t>Minooka</t>
  </si>
  <si>
    <t>12-11-0031</t>
  </si>
  <si>
    <t>3-10605-0000</t>
  </si>
  <si>
    <t>15-00191-00-RS</t>
  </si>
  <si>
    <t>1-21821-0000</t>
  </si>
  <si>
    <t>C-91-037-16</t>
  </si>
  <si>
    <t>4003581</t>
  </si>
  <si>
    <t>Utilities</t>
  </si>
  <si>
    <t>IL 58 (Golf Rd) to Glenview Rd</t>
  </si>
  <si>
    <t>Harlem Ave</t>
  </si>
  <si>
    <t>NS</t>
  </si>
  <si>
    <t>02-15-0008</t>
  </si>
  <si>
    <t>1-21821-0003</t>
  </si>
  <si>
    <t>15-00046-00-PV</t>
  </si>
  <si>
    <t>3-10604-0000</t>
  </si>
  <si>
    <t>C-93-109-16</t>
  </si>
  <si>
    <t>4003803</t>
  </si>
  <si>
    <t>James St to Hale St and Hale St to Lew St</t>
  </si>
  <si>
    <t>Main St</t>
  </si>
  <si>
    <t>09-15-0022</t>
  </si>
  <si>
    <t>13-00159-00-TL</t>
  </si>
  <si>
    <t>1-11017-0032</t>
  </si>
  <si>
    <t>Installation and replacement of Traffic Signals</t>
  </si>
  <si>
    <t>Washington St Corridor in Naperville</t>
  </si>
  <si>
    <t>1-21966-0000</t>
  </si>
  <si>
    <t>14-00101-00-RS</t>
  </si>
  <si>
    <t>1-21736-0000</t>
  </si>
  <si>
    <t>C-91-174-15</t>
  </si>
  <si>
    <t>4003450</t>
  </si>
  <si>
    <t>Monee Rd to Sauk Trail Rd</t>
  </si>
  <si>
    <t>Indianwood Blvd</t>
  </si>
  <si>
    <t>South</t>
  </si>
  <si>
    <t>07-14-0006</t>
  </si>
  <si>
    <t>1-21736-0003</t>
  </si>
  <si>
    <t>15-00275-00-SG</t>
  </si>
  <si>
    <t>0-01688-1014</t>
  </si>
  <si>
    <t>C-91-029-16</t>
  </si>
  <si>
    <t>4009341</t>
  </si>
  <si>
    <t>Sign Improvements</t>
  </si>
  <si>
    <t>City of Evanston</t>
  </si>
  <si>
    <t>02-15-0007</t>
  </si>
  <si>
    <t>15-00118-00-LT</t>
  </si>
  <si>
    <t>1-21948-0000</t>
  </si>
  <si>
    <t>C-91-300-16</t>
  </si>
  <si>
    <t>4003753</t>
  </si>
  <si>
    <t>Installation of Street Lights</t>
  </si>
  <si>
    <t>Village of Schaumburg</t>
  </si>
  <si>
    <t>NW</t>
  </si>
  <si>
    <t>03-14-0019</t>
  </si>
  <si>
    <t>1-21948-0003</t>
  </si>
  <si>
    <t>11-00042-00-CH</t>
  </si>
  <si>
    <t>1-21355-0000</t>
  </si>
  <si>
    <t>C-91-071-13</t>
  </si>
  <si>
    <t>4003100</t>
  </si>
  <si>
    <t>at Division St</t>
  </si>
  <si>
    <t>Gaylord Rd</t>
  </si>
  <si>
    <t>12-12-0021</t>
  </si>
  <si>
    <t>1-21355-0003</t>
  </si>
  <si>
    <t>15-00124-00-BT</t>
  </si>
  <si>
    <t>0-01727-1020</t>
  </si>
  <si>
    <t>C-91-166-16</t>
  </si>
  <si>
    <t>01D1030</t>
  </si>
  <si>
    <t>Installation of Signing for Bicycle Routes</t>
  </si>
  <si>
    <t>Highland Park</t>
  </si>
  <si>
    <t>10-15-0011</t>
  </si>
  <si>
    <t>0-01727-1019</t>
  </si>
  <si>
    <t>14-F3000-05-BT</t>
  </si>
  <si>
    <t>0-01727-1039</t>
  </si>
  <si>
    <t>D-91-457-14</t>
  </si>
  <si>
    <t>00D1974</t>
  </si>
  <si>
    <t>DuPage River Trail to Rock Run Trail</t>
  </si>
  <si>
    <t>HMA bike path parallel to Black Rd</t>
  </si>
  <si>
    <t>12-14-0016</t>
  </si>
  <si>
    <t>2015-013I</t>
  </si>
  <si>
    <t>0-00812-1004</t>
  </si>
  <si>
    <t>C-91-285-15</t>
  </si>
  <si>
    <t>000V079</t>
  </si>
  <si>
    <t>Shoulder widening, milled rumble strips and guardrail replacement</t>
  </si>
  <si>
    <t>Reed St/Main St from Comet Dr to Kankakee Co Line</t>
  </si>
  <si>
    <t>12-14-0003</t>
  </si>
  <si>
    <t>1-79850-0000</t>
  </si>
  <si>
    <t>Guardrail Replacements</t>
  </si>
  <si>
    <t>2014-045RS&amp;N</t>
  </si>
  <si>
    <t>1-77585-0000</t>
  </si>
  <si>
    <t>C-91-159-13</t>
  </si>
  <si>
    <t>0104021</t>
  </si>
  <si>
    <t>at Petite Lake Rd</t>
  </si>
  <si>
    <t>10-09-0124</t>
  </si>
  <si>
    <t>1-77585-0003</t>
  </si>
  <si>
    <t>14-00021-01-LS</t>
  </si>
  <si>
    <t>0-01727-1037</t>
  </si>
  <si>
    <t>C-91-203-16</t>
  </si>
  <si>
    <t>01D1033</t>
  </si>
  <si>
    <t>at Old Half Day Rd</t>
  </si>
  <si>
    <t>IL 22</t>
  </si>
  <si>
    <t>Lincolnshire</t>
  </si>
  <si>
    <t>10-10-0019</t>
  </si>
  <si>
    <t>0-01727-1038</t>
  </si>
  <si>
    <t>29B-I</t>
  </si>
  <si>
    <t>1-78389-0000</t>
  </si>
  <si>
    <t>C-91-195-11</t>
  </si>
  <si>
    <t>0305049</t>
  </si>
  <si>
    <t>Bridge Repairs</t>
  </si>
  <si>
    <t>11-15-0008</t>
  </si>
  <si>
    <t>1-78389-0003</t>
  </si>
  <si>
    <t>111N-1</t>
  </si>
  <si>
    <t>1-79069-0000</t>
  </si>
  <si>
    <t>C-91-284-15</t>
  </si>
  <si>
    <t>0631018</t>
  </si>
  <si>
    <t>Rumble strips and guardrail replacements</t>
  </si>
  <si>
    <t>John St to Kankakee County Line</t>
  </si>
  <si>
    <t>IL 102</t>
  </si>
  <si>
    <t>12-13-0013</t>
  </si>
  <si>
    <t>0-01726-1006</t>
  </si>
  <si>
    <t>C-91-434-10</t>
  </si>
  <si>
    <t>9003607</t>
  </si>
  <si>
    <t>St. Charles Rd to Army Trail Rd</t>
  </si>
  <si>
    <t>Fair Oaks Dr</t>
  </si>
  <si>
    <t>Carol Stream</t>
  </si>
  <si>
    <t>1-21056-0000</t>
  </si>
  <si>
    <t>Z240</t>
  </si>
  <si>
    <t>75/25</t>
  </si>
  <si>
    <t>15-00049-00-RS</t>
  </si>
  <si>
    <t>3-10578-0003</t>
  </si>
  <si>
    <t>C-93-002-16</t>
  </si>
  <si>
    <t>4003577</t>
  </si>
  <si>
    <t>Washington St to IL 126</t>
  </si>
  <si>
    <t>Mill St</t>
  </si>
  <si>
    <t>09-15-0024</t>
  </si>
  <si>
    <t>3-10578-0000</t>
  </si>
  <si>
    <t>1-21892-0002</t>
  </si>
  <si>
    <t>14-00114-01-PV</t>
  </si>
  <si>
    <t>D-91-023-16</t>
  </si>
  <si>
    <t>4003569</t>
  </si>
  <si>
    <t>Meacham Rd to East Frontage Rd</t>
  </si>
  <si>
    <t>Woodfield Rd</t>
  </si>
  <si>
    <t>03-14-0017</t>
  </si>
  <si>
    <t>15-00007-00-RS</t>
  </si>
  <si>
    <t>1-21896-0003</t>
  </si>
  <si>
    <t>C-91-164-16</t>
  </si>
  <si>
    <t>4003644</t>
  </si>
  <si>
    <t>IL 120 to Rand Rd (US 12)</t>
  </si>
  <si>
    <t>Volo Village Rd</t>
  </si>
  <si>
    <t>Volo</t>
  </si>
  <si>
    <t>10-16-0009</t>
  </si>
  <si>
    <t>12-B2675-00-RS</t>
  </si>
  <si>
    <t>1-21276-0000</t>
  </si>
  <si>
    <t>C-88-013-15</t>
  </si>
  <si>
    <t>6000484</t>
  </si>
  <si>
    <t>Far South (Project #74)</t>
  </si>
  <si>
    <t>01-16-0001</t>
  </si>
  <si>
    <t>1-21276-0003</t>
  </si>
  <si>
    <t>12-B2674-00-RS</t>
  </si>
  <si>
    <t>1-21275-0003</t>
  </si>
  <si>
    <t>C-88-010-15</t>
  </si>
  <si>
    <t>6000483</t>
  </si>
  <si>
    <t>South (Project #73)</t>
  </si>
  <si>
    <t>12-F3000-11-BT</t>
  </si>
  <si>
    <t>0-01727-1004</t>
  </si>
  <si>
    <t>C-91-294-14</t>
  </si>
  <si>
    <t>01D1053</t>
  </si>
  <si>
    <t>Winfield Mounds to West DuPage Woods</t>
  </si>
  <si>
    <t>West Branch Regional Trail</t>
  </si>
  <si>
    <t>0-01727-1003</t>
  </si>
  <si>
    <t>10-00056-02-PK</t>
  </si>
  <si>
    <t>1-11017-0019</t>
  </si>
  <si>
    <t>135th St and New Ave</t>
  </si>
  <si>
    <t>Metra Station</t>
  </si>
  <si>
    <t>12-B2673-00-RS</t>
  </si>
  <si>
    <t>1-21274-0000</t>
  </si>
  <si>
    <t>C-88-012-15</t>
  </si>
  <si>
    <t>6000482</t>
  </si>
  <si>
    <t>Central (Project # 72)</t>
  </si>
  <si>
    <t>1-21274-0003</t>
  </si>
  <si>
    <t>12-B2672-00-RS</t>
  </si>
  <si>
    <t>1-21273-0000</t>
  </si>
  <si>
    <t>C-88-009-15</t>
  </si>
  <si>
    <t>6000481</t>
  </si>
  <si>
    <t>North (Project # 71)</t>
  </si>
  <si>
    <t>1-21273-0003</t>
  </si>
  <si>
    <t>(126)BR</t>
  </si>
  <si>
    <t>3-47037-0100</t>
  </si>
  <si>
    <t>C-93-004-16</t>
  </si>
  <si>
    <t>0607082</t>
  </si>
  <si>
    <t>STP-Rural</t>
  </si>
  <si>
    <t>over Saratoga Creek</t>
  </si>
  <si>
    <t>09-14-0032</t>
  </si>
  <si>
    <t>15-00061-00-RS</t>
  </si>
  <si>
    <t>1-21819-0000</t>
  </si>
  <si>
    <t>C-91-294-15</t>
  </si>
  <si>
    <t>4003503</t>
  </si>
  <si>
    <t>Lockwood Ave to Crawford Ave</t>
  </si>
  <si>
    <t>Pratt Ave</t>
  </si>
  <si>
    <t>02-15-0001</t>
  </si>
  <si>
    <t>16-00059-00-RS</t>
  </si>
  <si>
    <t>1-21947-0000</t>
  </si>
  <si>
    <t>C-91-289-16</t>
  </si>
  <si>
    <t>4003746</t>
  </si>
  <si>
    <t>Roselle Rd to Irving Park</t>
  </si>
  <si>
    <t>Roselle</t>
  </si>
  <si>
    <t>08-16-0012</t>
  </si>
  <si>
    <t>2015-090B</t>
  </si>
  <si>
    <t>1-79125-0000</t>
  </si>
  <si>
    <t>C-91-181-16</t>
  </si>
  <si>
    <t>3545007</t>
  </si>
  <si>
    <t>over stream (unnamed)</t>
  </si>
  <si>
    <t>Oak Brook and Lombard</t>
  </si>
  <si>
    <t>08-13-0038</t>
  </si>
  <si>
    <t>2015-039L</t>
  </si>
  <si>
    <t>1-79666-0000</t>
  </si>
  <si>
    <t>C-91-366-15</t>
  </si>
  <si>
    <t>000V081</t>
  </si>
  <si>
    <t>Light tower replacement</t>
  </si>
  <si>
    <t>Interstates in Cook and DuPage Counties</t>
  </si>
  <si>
    <t>15-15-0002</t>
  </si>
  <si>
    <t>1-79666-0003</t>
  </si>
  <si>
    <t>North Branch Pedestrian Trail</t>
  </si>
  <si>
    <t>15-F3000-27-BT</t>
  </si>
  <si>
    <t>0-01726-1042</t>
  </si>
  <si>
    <t>C-91-206-16</t>
  </si>
  <si>
    <t>4003671</t>
  </si>
  <si>
    <t>New Bike/Pedestrian Trail</t>
  </si>
  <si>
    <t>Foster Ave and Kostner Ave</t>
  </si>
  <si>
    <t>Forest Glen Ave</t>
  </si>
  <si>
    <t>15-00119-00-PV</t>
  </si>
  <si>
    <t>1-21913-0002</t>
  </si>
  <si>
    <t>D-91-220-16</t>
  </si>
  <si>
    <t>4003684</t>
  </si>
  <si>
    <t>Plum Grove Rd to IL 58</t>
  </si>
  <si>
    <t>State and National Parkway</t>
  </si>
  <si>
    <t>03-16-0010</t>
  </si>
  <si>
    <t>16-00128-00-SP</t>
  </si>
  <si>
    <t>0-01187-1002</t>
  </si>
  <si>
    <t>C-91-228-16</t>
  </si>
  <si>
    <t>4003693</t>
  </si>
  <si>
    <t>Rail-Hwy Safety</t>
  </si>
  <si>
    <t xml:space="preserve">Pedestrian crossing gates </t>
  </si>
  <si>
    <t>at UP RR</t>
  </si>
  <si>
    <t>Clavey Rd</t>
  </si>
  <si>
    <t>10-16-0012</t>
  </si>
  <si>
    <t>MCP Circle Interchange</t>
  </si>
  <si>
    <t xml:space="preserve">2014-003R&amp;B </t>
  </si>
  <si>
    <t>1-78691-6400</t>
  </si>
  <si>
    <t>C-91-188-14</t>
  </si>
  <si>
    <t>000V064</t>
  </si>
  <si>
    <t>Z460</t>
  </si>
  <si>
    <t>I-90/I-94/I-290</t>
  </si>
  <si>
    <t>2014-004R&amp;B</t>
  </si>
  <si>
    <t>1-17691-6550</t>
  </si>
  <si>
    <t>C-91-189-14</t>
  </si>
  <si>
    <t>000V063</t>
  </si>
  <si>
    <t>1-78691-6500</t>
  </si>
  <si>
    <t>2014-016-RS</t>
  </si>
  <si>
    <t>1-78537-0000</t>
  </si>
  <si>
    <t>C-91-043-15</t>
  </si>
  <si>
    <t>0055454</t>
  </si>
  <si>
    <t>STP-State Urban</t>
  </si>
  <si>
    <t>Woodward Ave to 97th St</t>
  </si>
  <si>
    <t>I-55 Frontage Rd</t>
  </si>
  <si>
    <t>08-14-0035</t>
  </si>
  <si>
    <t>K(B&amp;C)2-BR(15)</t>
  </si>
  <si>
    <t>1-70252-1000</t>
  </si>
  <si>
    <t>C-91-047-16</t>
  </si>
  <si>
    <t>3730004</t>
  </si>
  <si>
    <t>over Little Calumet River</t>
  </si>
  <si>
    <t>IL 1 (Halsted St)</t>
  </si>
  <si>
    <t>01-15-0013</t>
  </si>
  <si>
    <t>1516.1RS-5</t>
  </si>
  <si>
    <t>1-70428-4000</t>
  </si>
  <si>
    <t>C-91-061-16</t>
  </si>
  <si>
    <t>0094405</t>
  </si>
  <si>
    <t>I-57 to MLK Drive</t>
  </si>
  <si>
    <t>01-15-0014</t>
  </si>
  <si>
    <t>11-00038-00-BR</t>
  </si>
  <si>
    <t>1-21207-0000</t>
  </si>
  <si>
    <t>C-91-168-12</t>
  </si>
  <si>
    <t>9003895</t>
  </si>
  <si>
    <t>McDonald Rd</t>
  </si>
  <si>
    <t>South Elgin</t>
  </si>
  <si>
    <t>09-12-0001</t>
  </si>
  <si>
    <t>1-21207-0003</t>
  </si>
  <si>
    <t>3041N-2(12)</t>
  </si>
  <si>
    <t>1-78854-0000</t>
  </si>
  <si>
    <t>at Buffalo Grove Rd</t>
  </si>
  <si>
    <t>Buffalo Grove</t>
  </si>
  <si>
    <t>1-21736-0001</t>
  </si>
  <si>
    <t>P-91-174-15</t>
  </si>
  <si>
    <t>4003448</t>
  </si>
  <si>
    <t>15-00129-00-BR</t>
  </si>
  <si>
    <t>1-21803-0001</t>
  </si>
  <si>
    <t>P-91-402-15</t>
  </si>
  <si>
    <t>4003538</t>
  </si>
  <si>
    <t>over Salt Creek</t>
  </si>
  <si>
    <t>Brookfield Ave</t>
  </si>
  <si>
    <t>05-15-0009</t>
  </si>
  <si>
    <t>13-00062-00-SP</t>
  </si>
  <si>
    <t>1-21837-0000</t>
  </si>
  <si>
    <t>C-91-125-16</t>
  </si>
  <si>
    <t>4003621</t>
  </si>
  <si>
    <t>Signal Modernization, Intersection Improvement</t>
  </si>
  <si>
    <t>IL 19 to Maple Ave</t>
  </si>
  <si>
    <t>03-15-0005</t>
  </si>
  <si>
    <t>1-21837-0003</t>
  </si>
  <si>
    <t>09-00091-00-MS</t>
  </si>
  <si>
    <t>1-20111-0020</t>
  </si>
  <si>
    <t>C-91-105-10</t>
  </si>
  <si>
    <t>1419014</t>
  </si>
  <si>
    <t>Train Platform and Landscaping</t>
  </si>
  <si>
    <t>Western Springs Metra Station</t>
  </si>
  <si>
    <t>Western Springs</t>
  </si>
  <si>
    <t>05-08-0011</t>
  </si>
  <si>
    <t>1-20111-0023</t>
  </si>
  <si>
    <t>05-00051-00-BT</t>
  </si>
  <si>
    <t>1-21957-0000</t>
  </si>
  <si>
    <t>C-91-325-15</t>
  </si>
  <si>
    <t>4003513</t>
  </si>
  <si>
    <t>Pedestrain Path</t>
  </si>
  <si>
    <t>Carrige Way to Edgewater Dr</t>
  </si>
  <si>
    <t>Glen Ellyn Rd</t>
  </si>
  <si>
    <t>Bloomingdale</t>
  </si>
  <si>
    <t>08-05-0020</t>
  </si>
  <si>
    <t>Lake County FP is the lead agency</t>
  </si>
  <si>
    <t>14-F3000-03-BT</t>
  </si>
  <si>
    <t>0-01727-1022</t>
  </si>
  <si>
    <t>C-91-161-16</t>
  </si>
  <si>
    <t>01D1044</t>
  </si>
  <si>
    <t>at IL 60</t>
  </si>
  <si>
    <t>Middlefork Savanna Trail</t>
  </si>
  <si>
    <t>10-16-0008</t>
  </si>
  <si>
    <t>0-01727-1021</t>
  </si>
  <si>
    <t>16-00113-00-SW</t>
  </si>
  <si>
    <t>0-01688-1000</t>
  </si>
  <si>
    <t>C-91-212-16</t>
  </si>
  <si>
    <t>4009356</t>
  </si>
  <si>
    <t>Sidewalk Improvements</t>
  </si>
  <si>
    <t>City of Woodstock</t>
  </si>
  <si>
    <t>11-15-0004</t>
  </si>
  <si>
    <t>14-00027-00-SW</t>
  </si>
  <si>
    <t>1-11017-0012</t>
  </si>
  <si>
    <t>15-00048-00-SW</t>
  </si>
  <si>
    <t>0-01688-1007</t>
  </si>
  <si>
    <t>C-91-242-15</t>
  </si>
  <si>
    <t>4009322</t>
  </si>
  <si>
    <t>New Sidewalks</t>
  </si>
  <si>
    <t>12-15-0015</t>
  </si>
  <si>
    <t>0-01688-1008</t>
  </si>
  <si>
    <t>13-00168-08-SP</t>
  </si>
  <si>
    <t>0-00101-1001</t>
  </si>
  <si>
    <t>C-91-172-14</t>
  </si>
  <si>
    <t>0043031</t>
  </si>
  <si>
    <t>at Book Rd</t>
  </si>
  <si>
    <t>08-14-0001</t>
  </si>
  <si>
    <t>12-00014-00-SW</t>
  </si>
  <si>
    <t>0-01688-1011</t>
  </si>
  <si>
    <t>C-91-047-13</t>
  </si>
  <si>
    <t>4009222</t>
  </si>
  <si>
    <t>S. Cook St to S. School St</t>
  </si>
  <si>
    <t>Kennedy Rd</t>
  </si>
  <si>
    <t>12-12-0035</t>
  </si>
  <si>
    <t>0-01688-1010</t>
  </si>
  <si>
    <t>14-00179-30-SP</t>
  </si>
  <si>
    <t>0-00101-1002</t>
  </si>
  <si>
    <t>C-91-274-15</t>
  </si>
  <si>
    <t>0043032</t>
  </si>
  <si>
    <t>Widening, RS, and Traffic Signal Modernization</t>
  </si>
  <si>
    <t>at Schick Rd</t>
  </si>
  <si>
    <t>County Farm Rd</t>
  </si>
  <si>
    <t>08-15-0002</t>
  </si>
  <si>
    <t>14-00301-00-BT</t>
  </si>
  <si>
    <t>0-01727-1024</t>
  </si>
  <si>
    <t>C-91-461-14</t>
  </si>
  <si>
    <t>00D1976</t>
  </si>
  <si>
    <t>Crawford Ave to N. McCormick Blvd</t>
  </si>
  <si>
    <t>Howard St</t>
  </si>
  <si>
    <t>02-14-0009</t>
  </si>
  <si>
    <t>15-00056-00-LT</t>
  </si>
  <si>
    <t>1-21958-0000</t>
  </si>
  <si>
    <t>C-91-258-15</t>
  </si>
  <si>
    <t>4003493</t>
  </si>
  <si>
    <t>Lighting Improvement</t>
  </si>
  <si>
    <t>Richton Park Metra Station</t>
  </si>
  <si>
    <t>Richton Park</t>
  </si>
  <si>
    <t>07-15-0008</t>
  </si>
  <si>
    <t>15-00131-00-BT</t>
  </si>
  <si>
    <t>0-01727-1002</t>
  </si>
  <si>
    <t>C-91-097-16</t>
  </si>
  <si>
    <t>01D1026</t>
  </si>
  <si>
    <t>Jackson St to Indiana Ave</t>
  </si>
  <si>
    <t>Riverdale</t>
  </si>
  <si>
    <t>0-01727-1001</t>
  </si>
  <si>
    <t>14-00078-00-CH</t>
  </si>
  <si>
    <t>1-21855-0000</t>
  </si>
  <si>
    <t>C-91-149-16</t>
  </si>
  <si>
    <t>4003630</t>
  </si>
  <si>
    <t>at Curran Rd</t>
  </si>
  <si>
    <t>Bull Valley Rd</t>
  </si>
  <si>
    <t>11-13-0010</t>
  </si>
  <si>
    <t>14-00098-00-RS</t>
  </si>
  <si>
    <t>1-21735-0000</t>
  </si>
  <si>
    <t>C-91-146-15</t>
  </si>
  <si>
    <t>4003428</t>
  </si>
  <si>
    <t>Central Ave to Cicero Ave</t>
  </si>
  <si>
    <t>122nd St</t>
  </si>
  <si>
    <t>Alsip</t>
  </si>
  <si>
    <t>06-15-0002</t>
  </si>
  <si>
    <t>1-21735-0003</t>
  </si>
  <si>
    <t>14-00097-00-RS</t>
  </si>
  <si>
    <t>1-21734-0000</t>
  </si>
  <si>
    <t>C-91-145-15</t>
  </si>
  <si>
    <t>4003426</t>
  </si>
  <si>
    <t>119th St to 127th St</t>
  </si>
  <si>
    <t>Kostner Ave</t>
  </si>
  <si>
    <t>06-15-0001</t>
  </si>
  <si>
    <t>1-21734-0003</t>
  </si>
  <si>
    <t>15-00031-00-RS</t>
  </si>
  <si>
    <t>1-21845-0000</t>
  </si>
  <si>
    <t>C-91-089-16</t>
  </si>
  <si>
    <t>4003596</t>
  </si>
  <si>
    <t>Cicero Ave to Pulaski Rd</t>
  </si>
  <si>
    <t>149th St</t>
  </si>
  <si>
    <t>07-15-0010</t>
  </si>
  <si>
    <t>1-21845-0003</t>
  </si>
  <si>
    <t>15-00030-03-RS</t>
  </si>
  <si>
    <t>1-21846-0000</t>
  </si>
  <si>
    <t>C-91-078-16</t>
  </si>
  <si>
    <t>4003594</t>
  </si>
  <si>
    <t>144th St</t>
  </si>
  <si>
    <t>07-15-0009</t>
  </si>
  <si>
    <t>15-00030-00-RS</t>
  </si>
  <si>
    <t>1-21846-0003</t>
  </si>
  <si>
    <t>14-00030-00-RS</t>
  </si>
  <si>
    <t>1-21871-0000</t>
  </si>
  <si>
    <t>C-91-170-16</t>
  </si>
  <si>
    <t>4003646</t>
  </si>
  <si>
    <t>Grass Lake Rd to Sand Rd</t>
  </si>
  <si>
    <t>Beck Rd</t>
  </si>
  <si>
    <t>10-13-0009</t>
  </si>
  <si>
    <t>1-21871-0003</t>
  </si>
  <si>
    <t>75/25 match</t>
  </si>
  <si>
    <t>1-21729-0000</t>
  </si>
  <si>
    <t>C-91-359-14</t>
  </si>
  <si>
    <t>4003345</t>
  </si>
  <si>
    <t>Lake St. to Army Trail Rd</t>
  </si>
  <si>
    <t>08-12-0030</t>
  </si>
  <si>
    <t>15-00022-00-RS</t>
  </si>
  <si>
    <t>1-21852-0000</t>
  </si>
  <si>
    <t>C-91-088-16</t>
  </si>
  <si>
    <t>4003597</t>
  </si>
  <si>
    <t>67th St to 58th St</t>
  </si>
  <si>
    <t>Clarendon Hills Rd</t>
  </si>
  <si>
    <t>Willowbrook</t>
  </si>
  <si>
    <t>08-11-0026</t>
  </si>
  <si>
    <t>15-00086-00-RS</t>
  </si>
  <si>
    <t>1-21830-0003</t>
  </si>
  <si>
    <t>C-91-424-15</t>
  </si>
  <si>
    <t>4003551</t>
  </si>
  <si>
    <t>23rd St. from Sheridan Rd to Edina Rd, Edina Blvd from Shiloh Blvd to 29th St.; Shiloh Blvd to 29th St.; 29th St. from Sheridan Rd to Edina Blvd</t>
  </si>
  <si>
    <t>Zion</t>
  </si>
  <si>
    <t>10-15-0015</t>
  </si>
  <si>
    <t>1-21830-0000</t>
  </si>
  <si>
    <t>Also has $1,127,240 in TCSP funds</t>
  </si>
  <si>
    <t>1-21806-0100</t>
  </si>
  <si>
    <t>NC</t>
  </si>
  <si>
    <t>13-00089-00-WR</t>
  </si>
  <si>
    <t>1-21823-0000</t>
  </si>
  <si>
    <t>Grand Ave to Jefferson St</t>
  </si>
  <si>
    <t>Church Rd</t>
  </si>
  <si>
    <t>15-00059-00-SW</t>
  </si>
  <si>
    <t>1-11016-0070</t>
  </si>
  <si>
    <t>15-00066-00-BR</t>
  </si>
  <si>
    <t>1-21876-0001</t>
  </si>
  <si>
    <t>P-91-118-16</t>
  </si>
  <si>
    <t>4003616</t>
  </si>
  <si>
    <t>Arlington Dr</t>
  </si>
  <si>
    <t>08-15-0038</t>
  </si>
  <si>
    <t>16-00167-00-BR</t>
  </si>
  <si>
    <t>1-21931-0001</t>
  </si>
  <si>
    <t>P-91-265-16</t>
  </si>
  <si>
    <t>4003725</t>
  </si>
  <si>
    <t>08-16-0020</t>
  </si>
  <si>
    <t>11-00155-00-CH</t>
  </si>
  <si>
    <t>1-21497-0000</t>
  </si>
  <si>
    <t>C-91-155-14</t>
  </si>
  <si>
    <t>4003259</t>
  </si>
  <si>
    <t>Resurfacing, Reconstruction, Traffic Signal Improvements, etc.</t>
  </si>
  <si>
    <t>Charles Ln to Harding Rd, IL 53 to Finley Rd</t>
  </si>
  <si>
    <t>IL 53 and Madison St</t>
  </si>
  <si>
    <t>15-00263-00-RS</t>
  </si>
  <si>
    <t>1-21862-0000</t>
  </si>
  <si>
    <t>C-91-319-15</t>
  </si>
  <si>
    <t>4003512</t>
  </si>
  <si>
    <t>Harlem Ave to Austin Blvd</t>
  </si>
  <si>
    <t>Chicago Ave</t>
  </si>
  <si>
    <t>04-15-0003</t>
  </si>
  <si>
    <t>1-21862-0003</t>
  </si>
  <si>
    <t>14-00098-00-BR</t>
  </si>
  <si>
    <t>1-21580-0002</t>
  </si>
  <si>
    <t>D-91-048-15</t>
  </si>
  <si>
    <t>4003390</t>
  </si>
  <si>
    <t>at Metra MDN</t>
  </si>
  <si>
    <t>Kates Rd</t>
  </si>
  <si>
    <t>10-14-0025</t>
  </si>
  <si>
    <t>90/10</t>
  </si>
  <si>
    <t>(32-3-R&amp;0305-302K)TS&amp;N-3</t>
  </si>
  <si>
    <t>1-77880-0000</t>
  </si>
  <si>
    <t>3262N-1</t>
  </si>
  <si>
    <t>1-77979-0100</t>
  </si>
  <si>
    <t>C-91-308-12</t>
  </si>
  <si>
    <t>3730005</t>
  </si>
  <si>
    <t>from Strieff Lane to Chicago Rd &amp; at Vincennes Rd</t>
  </si>
  <si>
    <t>07-09-0075</t>
  </si>
  <si>
    <t>15-C2000-04-BT</t>
  </si>
  <si>
    <t>1-11017-0013</t>
  </si>
  <si>
    <t>UP RR at Oak St</t>
  </si>
  <si>
    <t>Ridgefield Trace Bike Path</t>
  </si>
  <si>
    <t>14-00028-00-SW</t>
  </si>
  <si>
    <t>1-11017-0011</t>
  </si>
  <si>
    <t>Pulaski Rd to Homan Ave</t>
  </si>
  <si>
    <t>147th St</t>
  </si>
  <si>
    <t>15-00088-00-RS</t>
  </si>
  <si>
    <t>1-21941-0000</t>
  </si>
  <si>
    <t>C-91-105-16</t>
  </si>
  <si>
    <t>4003608</t>
  </si>
  <si>
    <t>Wolf Rd to Roberta Ave</t>
  </si>
  <si>
    <t>Whitehall Dr</t>
  </si>
  <si>
    <t>04-10-0022</t>
  </si>
  <si>
    <t>1-21941-0003</t>
  </si>
  <si>
    <t>ARROYO TRAILS</t>
  </si>
  <si>
    <t>0-01552-1007</t>
  </si>
  <si>
    <t>C-30-016-16</t>
  </si>
  <si>
    <t>2015016</t>
  </si>
  <si>
    <t>M940</t>
  </si>
  <si>
    <t>RECTP</t>
  </si>
  <si>
    <t>Arroyo Trails</t>
  </si>
  <si>
    <t>12-16-0013</t>
  </si>
  <si>
    <t>BROOKDALE SHARED - USE TRAIL ENHANCEMENT</t>
  </si>
  <si>
    <t>0-01552-1006</t>
  </si>
  <si>
    <t>C-30-015-16</t>
  </si>
  <si>
    <t>2015015</t>
  </si>
  <si>
    <t>Brookdale Conservation Area</t>
  </si>
  <si>
    <t>11-16-0005</t>
  </si>
  <si>
    <t>match from snowmobile club</t>
  </si>
  <si>
    <t>SNOWMOBILE TRAIL GROOMER - LAKERS SNOWMOBILE CLUB</t>
  </si>
  <si>
    <t>0-01552-1003</t>
  </si>
  <si>
    <t>C-30-009-16</t>
  </si>
  <si>
    <t>2015009</t>
  </si>
  <si>
    <t>Lakers Snowmobile Club purchasing a pre-owned tractor and snowmobile trail grooming drag for maintaining public snowmobile trails.</t>
  </si>
  <si>
    <t>11-16-0004</t>
  </si>
  <si>
    <t xml:space="preserve">MILLENNIUM TRAIL-VAN PATTEN CONNECTION AND PARKING </t>
  </si>
  <si>
    <t>0-01552-1005</t>
  </si>
  <si>
    <t>C-30-014-16</t>
  </si>
  <si>
    <t>2015014</t>
  </si>
  <si>
    <t>Connector Trail and Parking</t>
  </si>
  <si>
    <t>Van Patten Woods Forest Preserve</t>
  </si>
  <si>
    <t>Van Patten Woods FP</t>
  </si>
  <si>
    <t>10-16-0016</t>
  </si>
  <si>
    <t>Little Woods Preserve Trail</t>
  </si>
  <si>
    <t>0-01552-1004</t>
  </si>
  <si>
    <t>C-30-013-16</t>
  </si>
  <si>
    <t>2015013</t>
  </si>
  <si>
    <t>Equestrian Trail</t>
  </si>
  <si>
    <t>Little Woods Forest Preserve</t>
  </si>
  <si>
    <t>Little Woods FP</t>
  </si>
  <si>
    <t>09-16-0019</t>
  </si>
  <si>
    <t>SNOWMOBILE TRAIL GROOMER - HAMPSHIRE WHITE RIDERS</t>
  </si>
  <si>
    <t>0-01552-1002</t>
  </si>
  <si>
    <t>C-30-008-16</t>
  </si>
  <si>
    <t>2015008</t>
  </si>
  <si>
    <t>Purchase a tracked utility ATV and a snowmobile trail grooming drag for maintaining public snowmobile trails by Hampshire White Riders Snowmobile Club</t>
  </si>
  <si>
    <t>Hampshire Area</t>
  </si>
  <si>
    <t>09-16-0018</t>
  </si>
  <si>
    <t>TIP ID used to be 10-14-0004</t>
  </si>
  <si>
    <t>FAP 333</t>
  </si>
  <si>
    <t>1-78289-0400</t>
  </si>
  <si>
    <t>at Hainesville Rd</t>
  </si>
  <si>
    <t>IL 120</t>
  </si>
  <si>
    <t>10-14-0008</t>
  </si>
  <si>
    <t>15-00123-00-BT</t>
  </si>
  <si>
    <t>0-01726-1054</t>
  </si>
  <si>
    <t>D-91-195-16</t>
  </si>
  <si>
    <t>01D1042</t>
  </si>
  <si>
    <t>Walkup Rd to Praire Path Trail</t>
  </si>
  <si>
    <t>Prairie Path</t>
  </si>
  <si>
    <t>11-16-0001</t>
  </si>
  <si>
    <t>09-00055-00-RS</t>
  </si>
  <si>
    <t>1-21942-0000</t>
  </si>
  <si>
    <t>C-91-258-16</t>
  </si>
  <si>
    <t>4003723</t>
  </si>
  <si>
    <t>River Rd Dr to IL 131</t>
  </si>
  <si>
    <t>Boncosky Rd</t>
  </si>
  <si>
    <t>09-09-0057</t>
  </si>
  <si>
    <t>1-21942-0003</t>
  </si>
  <si>
    <t>16-00185-00-RS</t>
  </si>
  <si>
    <t>1-21938-0000</t>
  </si>
  <si>
    <t>C-91-196-16</t>
  </si>
  <si>
    <t>4003659</t>
  </si>
  <si>
    <t>Harvard St to Jackson St</t>
  </si>
  <si>
    <t>York St</t>
  </si>
  <si>
    <t>08-14-0011</t>
  </si>
  <si>
    <t>16-00166-00-RS</t>
  </si>
  <si>
    <t>1-21940-0000</t>
  </si>
  <si>
    <t>C-91-277-16</t>
  </si>
  <si>
    <t>4003734</t>
  </si>
  <si>
    <t>75th St to Lisson Rd</t>
  </si>
  <si>
    <t>Wehrli Rd</t>
  </si>
  <si>
    <t>08-14-0012</t>
  </si>
  <si>
    <t>16-00165-00-RS</t>
  </si>
  <si>
    <t>1-21939-0000</t>
  </si>
  <si>
    <t>C-91-276-16</t>
  </si>
  <si>
    <t>4003735</t>
  </si>
  <si>
    <t>N. Columbia St to Naper Blvd</t>
  </si>
  <si>
    <t>Plank Rd</t>
  </si>
  <si>
    <t>08-13-0032</t>
  </si>
  <si>
    <t>(X-J-C)R-1</t>
  </si>
  <si>
    <t>1-02770-2604</t>
  </si>
  <si>
    <t>C-91-115-16</t>
  </si>
  <si>
    <t>0541015</t>
  </si>
  <si>
    <t>Ferndale St to Greenview St</t>
  </si>
  <si>
    <t>IL 132</t>
  </si>
  <si>
    <t>15-00082-00-SP</t>
  </si>
  <si>
    <t>0-00101-1004</t>
  </si>
  <si>
    <t>P-91-204-16</t>
  </si>
  <si>
    <t>4003673</t>
  </si>
  <si>
    <t>Il 120 to Ojibwa Ln</t>
  </si>
  <si>
    <t>Curran Rd</t>
  </si>
  <si>
    <t>11-06-0002</t>
  </si>
  <si>
    <t>15-00058-00-SW</t>
  </si>
  <si>
    <t>0-01687-1022</t>
  </si>
  <si>
    <t>C-91-305-15</t>
  </si>
  <si>
    <t>4009337</t>
  </si>
  <si>
    <t>Union Ridge Elementary School</t>
  </si>
  <si>
    <t>Harwood Heights</t>
  </si>
  <si>
    <t>04-15-0009</t>
  </si>
  <si>
    <t>11-00033-00-SW</t>
  </si>
  <si>
    <t>0-01726-1000</t>
  </si>
  <si>
    <t>C-91-643-11</t>
  </si>
  <si>
    <t>00D1882</t>
  </si>
  <si>
    <t>Sheridan Rd to Scranton Ave</t>
  </si>
  <si>
    <t>Robert McClory/Grand Illinois Trail</t>
  </si>
  <si>
    <t>Lake Bluff</t>
  </si>
  <si>
    <t>10-11-0020</t>
  </si>
  <si>
    <t>0-01726-1026</t>
  </si>
  <si>
    <t>15-00040-00-SW</t>
  </si>
  <si>
    <t>0-01687-1034</t>
  </si>
  <si>
    <t>C-91-264-16</t>
  </si>
  <si>
    <t>4009358</t>
  </si>
  <si>
    <t>Sidewalks, signing, pavement markings</t>
  </si>
  <si>
    <t>Kostner Ave to Ravisloe Terrace</t>
  </si>
  <si>
    <t>180th St</t>
  </si>
  <si>
    <t>Country Club Hills</t>
  </si>
  <si>
    <t>07-16-0008</t>
  </si>
  <si>
    <t>0-01687-1033</t>
  </si>
  <si>
    <t>12-00181-00-SW</t>
  </si>
  <si>
    <t>0-01687-1028</t>
  </si>
  <si>
    <t>C-91-182-16</t>
  </si>
  <si>
    <t>4009350</t>
  </si>
  <si>
    <t>Rugen Rd to Pfingston Rd</t>
  </si>
  <si>
    <t>Springdale Ave</t>
  </si>
  <si>
    <t>02-12-0016</t>
  </si>
  <si>
    <t>0-01687-1027</t>
  </si>
  <si>
    <t>13-B3514-00-SW</t>
  </si>
  <si>
    <t>0-01687-1032</t>
  </si>
  <si>
    <t>C-88-043-13</t>
  </si>
  <si>
    <t>4009252</t>
  </si>
  <si>
    <t>Various locations in Chicago</t>
  </si>
  <si>
    <t>01-09-0059</t>
  </si>
  <si>
    <t>0-01687-1031</t>
  </si>
  <si>
    <t>12-02110-01-BR</t>
  </si>
  <si>
    <t>1-21351-0002</t>
  </si>
  <si>
    <t>D-91-210-13</t>
  </si>
  <si>
    <t>0197127</t>
  </si>
  <si>
    <t>over Plum Creek</t>
  </si>
  <si>
    <t>Klemme Rd</t>
  </si>
  <si>
    <t>Crete</t>
  </si>
  <si>
    <t>07-13-0014</t>
  </si>
  <si>
    <t>13-00270-00-CH</t>
  </si>
  <si>
    <t>1-11016-0062</t>
  </si>
  <si>
    <t>Green Bay Rd to Ridge Rd</t>
  </si>
  <si>
    <t>Emerson St</t>
  </si>
  <si>
    <t>Utilities, Landscaping, Safety</t>
  </si>
  <si>
    <t>70/30 match</t>
  </si>
  <si>
    <t>1-21527-0000</t>
  </si>
  <si>
    <t>0-01687-1023</t>
  </si>
  <si>
    <t>12-04101-01-BR</t>
  </si>
  <si>
    <t>1-21420-0003</t>
  </si>
  <si>
    <t>C-91-365-13</t>
  </si>
  <si>
    <t>0089175</t>
  </si>
  <si>
    <t>over Lake Run Creek</t>
  </si>
  <si>
    <t>Seavey Rd</t>
  </si>
  <si>
    <t>09-13-0010</t>
  </si>
  <si>
    <t>1-21420-0000</t>
  </si>
  <si>
    <t>12-00290-00-BT</t>
  </si>
  <si>
    <t>1-11016-0053</t>
  </si>
  <si>
    <t>US 41 to Gross Point Rd</t>
  </si>
  <si>
    <t>99-4-1-N</t>
  </si>
  <si>
    <t>1-77552-0003</t>
  </si>
  <si>
    <t>C-91-402-13</t>
  </si>
  <si>
    <t>0080410</t>
  </si>
  <si>
    <t>at Briggs St</t>
  </si>
  <si>
    <t>I-80 (WB ramp)</t>
  </si>
  <si>
    <t xml:space="preserve">Joliet </t>
  </si>
  <si>
    <t>12-09-0117</t>
  </si>
  <si>
    <t>1-77552-0000</t>
  </si>
  <si>
    <t>15-00060-00-BT</t>
  </si>
  <si>
    <t>0-01726-1020</t>
  </si>
  <si>
    <t>P-91-403-15</t>
  </si>
  <si>
    <t>01D1012</t>
  </si>
  <si>
    <t>Lies Rd to Army Trail Rd</t>
  </si>
  <si>
    <t>Kuhn Rd</t>
  </si>
  <si>
    <t>08-14-0024</t>
  </si>
  <si>
    <t>15-00061-00-BT</t>
  </si>
  <si>
    <t>0-01726-1019</t>
  </si>
  <si>
    <t>P-91-409-15</t>
  </si>
  <si>
    <t>01D1015</t>
  </si>
  <si>
    <t>Gary Ave to Schmale Rd</t>
  </si>
  <si>
    <t>Lies Rd</t>
  </si>
  <si>
    <t>08-14-0022</t>
  </si>
  <si>
    <t>10-00292-00-WR</t>
  </si>
  <si>
    <t>1-21122-0000</t>
  </si>
  <si>
    <t>83rd St to 87th St</t>
  </si>
  <si>
    <t>1-11016-0044</t>
  </si>
  <si>
    <t>1-21122-0003</t>
  </si>
  <si>
    <t>15-00083-00-BR</t>
  </si>
  <si>
    <t>1-21818-0001</t>
  </si>
  <si>
    <t>P-91-068-16</t>
  </si>
  <si>
    <t>4003590</t>
  </si>
  <si>
    <t>over DesPlaines River</t>
  </si>
  <si>
    <t xml:space="preserve">IL 7 </t>
  </si>
  <si>
    <t>12-15-0023</t>
  </si>
  <si>
    <t>16-00278-00-BR</t>
  </si>
  <si>
    <t>1-21950-0001</t>
  </si>
  <si>
    <t>P-91-301-16</t>
  </si>
  <si>
    <t>4003758</t>
  </si>
  <si>
    <t>Central St Bridge</t>
  </si>
  <si>
    <t>Central St</t>
  </si>
  <si>
    <t>02-16-0016</t>
  </si>
  <si>
    <t>(1517&amp;1415)R-3</t>
  </si>
  <si>
    <t>1-74681-0300</t>
  </si>
  <si>
    <t>C-91-376-14</t>
  </si>
  <si>
    <t>New Bridge</t>
  </si>
  <si>
    <t>Cumberland Ave to Harlem</t>
  </si>
  <si>
    <t>I-90</t>
  </si>
  <si>
    <t>Add Lanes</t>
  </si>
  <si>
    <t>15-00094-00-RS</t>
  </si>
  <si>
    <t>1-21861-0003</t>
  </si>
  <si>
    <t>C-91-146-16</t>
  </si>
  <si>
    <t>4003628</t>
  </si>
  <si>
    <t>Jones Rd to Roselle Rd and Golf Rd to Higgins Rd</t>
  </si>
  <si>
    <t>Hillcrest Blvd and Moon Lake Blvd</t>
  </si>
  <si>
    <t>03-16-0002</t>
  </si>
  <si>
    <t>1-21861-0000</t>
  </si>
  <si>
    <t>IL528 - DEMO ID</t>
  </si>
  <si>
    <t>(13C &amp; 13)R&amp;T</t>
  </si>
  <si>
    <t>3-32250-0105</t>
  </si>
  <si>
    <t>C-93-158-14</t>
  </si>
  <si>
    <t>0591029</t>
  </si>
  <si>
    <t>NCP</t>
  </si>
  <si>
    <t>IL 47 to Orchard Rd</t>
  </si>
  <si>
    <t>11-03112-00-BR</t>
  </si>
  <si>
    <t>1-21551-0002</t>
  </si>
  <si>
    <t>D-91-327-14</t>
  </si>
  <si>
    <t>0089179</t>
  </si>
  <si>
    <t>over Big Rock Creek</t>
  </si>
  <si>
    <t>Price Rd</t>
  </si>
  <si>
    <t>09-14-0022</t>
  </si>
  <si>
    <t>15-00080-00-BT</t>
  </si>
  <si>
    <t>0-01727-1009</t>
  </si>
  <si>
    <t>C-91-310-16</t>
  </si>
  <si>
    <t>01D1049</t>
  </si>
  <si>
    <t>IL 31 and Charles J. Miller Rd</t>
  </si>
  <si>
    <t>Knox Park</t>
  </si>
  <si>
    <t>11-14-0012</t>
  </si>
  <si>
    <t>0-01727-1008</t>
  </si>
  <si>
    <t>15-00061-00-WR</t>
  </si>
  <si>
    <t>1-21901-0000</t>
  </si>
  <si>
    <t>C-91-370-15</t>
  </si>
  <si>
    <t>4003531</t>
  </si>
  <si>
    <t>Reconstruction, widening &amp; RS</t>
  </si>
  <si>
    <t>Heggs Rd for .69 miles</t>
  </si>
  <si>
    <t>Plainfield</t>
  </si>
  <si>
    <t>12-15-0010</t>
  </si>
  <si>
    <t>128R-B-R</t>
  </si>
  <si>
    <t>1-79734-0000</t>
  </si>
  <si>
    <t>C-91-237-16</t>
  </si>
  <si>
    <t>0607081</t>
  </si>
  <si>
    <t>12-16-0009</t>
  </si>
  <si>
    <t>1-79734-0003</t>
  </si>
  <si>
    <t>2014-079RS,BR&amp;T</t>
  </si>
  <si>
    <t>1-78762-0000</t>
  </si>
  <si>
    <t>C-91-448-14</t>
  </si>
  <si>
    <t>0055455</t>
  </si>
  <si>
    <t>Resurfacing, Bridge Rehabilitation, Other</t>
  </si>
  <si>
    <t>Weber Rd to Pulaski Rd</t>
  </si>
  <si>
    <t>12-14-0017</t>
  </si>
  <si>
    <t>50/50</t>
  </si>
  <si>
    <t>12-B2706-00-SW</t>
  </si>
  <si>
    <t>1-21884-0000</t>
  </si>
  <si>
    <t>C-88-003-16</t>
  </si>
  <si>
    <t>6000494</t>
  </si>
  <si>
    <t>ADA Improvements, Sidewalk replacement</t>
  </si>
  <si>
    <t>1-21884-0003</t>
  </si>
  <si>
    <t>15-00062-00-RS</t>
  </si>
  <si>
    <t>1-21848-0000</t>
  </si>
  <si>
    <t>C-91-098-16</t>
  </si>
  <si>
    <t>4003606</t>
  </si>
  <si>
    <t>County Farm Rd to Kuhn Rd</t>
  </si>
  <si>
    <t>08-13-0024</t>
  </si>
  <si>
    <t>14-00103-00-MS</t>
  </si>
  <si>
    <t>0-01726-1052</t>
  </si>
  <si>
    <t>P-91-340-15</t>
  </si>
  <si>
    <t>01D1010</t>
  </si>
  <si>
    <t>151st St to 155th St</t>
  </si>
  <si>
    <t>07-13-0016</t>
  </si>
  <si>
    <t>2015-080R&amp;B</t>
  </si>
  <si>
    <t>1-78691-6700</t>
  </si>
  <si>
    <t>C-91-129-16</t>
  </si>
  <si>
    <t>000V078</t>
  </si>
  <si>
    <t>10-W9215-00-SW</t>
  </si>
  <si>
    <t>1-11016-0072</t>
  </si>
  <si>
    <t>Various Pedestrian Improvements</t>
  </si>
  <si>
    <t>1-11016-0073</t>
  </si>
  <si>
    <t>15-00082-00-CH</t>
  </si>
  <si>
    <t>1-21906-0001</t>
  </si>
  <si>
    <t>P-91-189-16</t>
  </si>
  <si>
    <t>4003654</t>
  </si>
  <si>
    <t>at Old River Rd</t>
  </si>
  <si>
    <t>Irving Park Rd (IL 19)</t>
  </si>
  <si>
    <t>Schiller Park</t>
  </si>
  <si>
    <t>04-16-0002</t>
  </si>
  <si>
    <t>12-00136-00-SG</t>
  </si>
  <si>
    <t>0-01687-1036</t>
  </si>
  <si>
    <t>P-91-268-16</t>
  </si>
  <si>
    <t>4009359</t>
  </si>
  <si>
    <t>LU1E</t>
  </si>
  <si>
    <t>James Hart Elementary School</t>
  </si>
  <si>
    <t>Homewood</t>
  </si>
  <si>
    <t>07-12-0018</t>
  </si>
  <si>
    <t>14-00035-00-TL</t>
  </si>
  <si>
    <t>1-21804-0001</t>
  </si>
  <si>
    <t>P-91-414-15</t>
  </si>
  <si>
    <t>4003545</t>
  </si>
  <si>
    <t>at Mark Collins Dr</t>
  </si>
  <si>
    <t>Sauk Trail</t>
  </si>
  <si>
    <t>Sauk Village</t>
  </si>
  <si>
    <t>07-14-0017</t>
  </si>
  <si>
    <t>13-00136-00-RR</t>
  </si>
  <si>
    <t>1-11017-0004</t>
  </si>
  <si>
    <t>Warming Shelter, Retaining Walls, Parking, lighting Improvements</t>
  </si>
  <si>
    <t>15-00060-00-RS</t>
  </si>
  <si>
    <t>1-21949-0000</t>
  </si>
  <si>
    <t>C-91-313-16</t>
  </si>
  <si>
    <t>4003763</t>
  </si>
  <si>
    <t>Irving Park Rd to Lake St</t>
  </si>
  <si>
    <t>Park Ave</t>
  </si>
  <si>
    <t>Streamwood</t>
  </si>
  <si>
    <t>03-16-0014</t>
  </si>
  <si>
    <t>1-21949-0003</t>
  </si>
  <si>
    <t>16-00083-00-RS</t>
  </si>
  <si>
    <t>1-21928-0000</t>
  </si>
  <si>
    <t>C-91-259-16</t>
  </si>
  <si>
    <t>4003724</t>
  </si>
  <si>
    <t>Longcommon Rd to Harlem Ave and Burlington Rd to Harlem Ave</t>
  </si>
  <si>
    <t>Quincy St, Longcommon Rd</t>
  </si>
  <si>
    <t>05-15-0006</t>
  </si>
  <si>
    <t>1-21928-0003</t>
  </si>
  <si>
    <t>16-00117-00-RS</t>
  </si>
  <si>
    <t>1-21945-0000</t>
  </si>
  <si>
    <t>C-91-269-16</t>
  </si>
  <si>
    <t>4003730</t>
  </si>
  <si>
    <t>Webster St to Harlem Ave. and 75th St to Harlem Ave</t>
  </si>
  <si>
    <t>Fullerton Ave and Diversey Ave</t>
  </si>
  <si>
    <t>Elmwood Park</t>
  </si>
  <si>
    <t>04-16-0004</t>
  </si>
  <si>
    <t>1-21945-0003</t>
  </si>
  <si>
    <t>15-00097-00-RS</t>
  </si>
  <si>
    <t>1-21946-0000</t>
  </si>
  <si>
    <t>C-91-171-16</t>
  </si>
  <si>
    <t>4003647</t>
  </si>
  <si>
    <t>Quentin Rd to Plum Grove Rd</t>
  </si>
  <si>
    <t>Colfax St</t>
  </si>
  <si>
    <t>03-16-0007</t>
  </si>
  <si>
    <t>1-21946-0003</t>
  </si>
  <si>
    <t>1-21819-0003</t>
  </si>
  <si>
    <t>2015-042B</t>
  </si>
  <si>
    <t>1-79191-0000</t>
  </si>
  <si>
    <t>C-91-368-15</t>
  </si>
  <si>
    <t>0372012</t>
  </si>
  <si>
    <t>over Equestrian Path .4 miles north of IL 64</t>
  </si>
  <si>
    <t>IL 171</t>
  </si>
  <si>
    <t>River Grove</t>
  </si>
  <si>
    <t>04-13-0010</t>
  </si>
  <si>
    <t>08-B8133-00-TL</t>
  </si>
  <si>
    <t>1-11014-0053, 1-11015-0021, 1-11014-0052</t>
  </si>
  <si>
    <t>Advanced Traffic Controller (ATC)</t>
  </si>
  <si>
    <t>98-B8203-05-RS</t>
  </si>
  <si>
    <t>1-20019-0000</t>
  </si>
  <si>
    <t>C-88-048-12</t>
  </si>
  <si>
    <t>6000394</t>
  </si>
  <si>
    <t>Road widening, RS, traffic signal modernization, etc.</t>
  </si>
  <si>
    <t>Pulaski Rd to Chicago Ave</t>
  </si>
  <si>
    <t>01-98-0068</t>
  </si>
  <si>
    <t>1-20019-0003</t>
  </si>
  <si>
    <t>13-00008-00-BT</t>
  </si>
  <si>
    <t>0-01727-3002</t>
  </si>
  <si>
    <t>C-93-126-14</t>
  </si>
  <si>
    <t>00D3085</t>
  </si>
  <si>
    <t>M3E3</t>
  </si>
  <si>
    <t>Amber Ln to McGinty St</t>
  </si>
  <si>
    <t>Diamond Estates Subdivision</t>
  </si>
  <si>
    <t>12-14-0014</t>
  </si>
  <si>
    <t>14-00032-00-SW</t>
  </si>
  <si>
    <t>0-01688-3001</t>
  </si>
  <si>
    <t>C-93-041-15</t>
  </si>
  <si>
    <t>4009302</t>
  </si>
  <si>
    <t>Village of Coal City</t>
  </si>
  <si>
    <t>Coal City</t>
  </si>
  <si>
    <t>12-15-0005</t>
  </si>
  <si>
    <t>0-01688-3002</t>
  </si>
  <si>
    <t>14-00100-00-SG</t>
  </si>
  <si>
    <t>1-11016-0057, 1-21858-0000</t>
  </si>
  <si>
    <t>Signing and Pavement Markings</t>
  </si>
  <si>
    <t>Village of Park Forest</t>
  </si>
  <si>
    <t>12-00999-28-TL</t>
  </si>
  <si>
    <t>1-11016-0051</t>
  </si>
  <si>
    <t>Casimir Pulaski Dr to Norman Dr</t>
  </si>
  <si>
    <t>1-11016-0050</t>
  </si>
  <si>
    <t>15-00098-00-RS</t>
  </si>
  <si>
    <t>1-21867-0000</t>
  </si>
  <si>
    <t>C-91-141-16</t>
  </si>
  <si>
    <t>4003623</t>
  </si>
  <si>
    <t>Thatcher Ave to Harlem Ave</t>
  </si>
  <si>
    <t>River Forest</t>
  </si>
  <si>
    <t>04-14-0007</t>
  </si>
  <si>
    <t>1-21867-0003</t>
  </si>
  <si>
    <t>125 X-N&amp;J-SB-B</t>
  </si>
  <si>
    <t>1-02770-01655</t>
  </si>
  <si>
    <t>C-91-603-10</t>
  </si>
  <si>
    <t>0346019</t>
  </si>
  <si>
    <t>over UP RR</t>
  </si>
  <si>
    <t>1-02770-01650</t>
  </si>
  <si>
    <t>10-00059-01-SP</t>
  </si>
  <si>
    <t>0-01688-1004</t>
  </si>
  <si>
    <t>C-91-325-14</t>
  </si>
  <si>
    <t>4003338</t>
  </si>
  <si>
    <t>Pavement markings on signage</t>
  </si>
  <si>
    <t>Various locations on IL 19</t>
  </si>
  <si>
    <t>IL 19</t>
  </si>
  <si>
    <t>08-10-0008</t>
  </si>
  <si>
    <t>0-21944-0000</t>
  </si>
  <si>
    <t>Sidewalks, barrier wall, fencing</t>
  </si>
  <si>
    <t>0-21944-0003</t>
  </si>
  <si>
    <t>214-062-RS</t>
  </si>
  <si>
    <t>1-78541-0000</t>
  </si>
  <si>
    <t>C-91-044-15</t>
  </si>
  <si>
    <t>3583001</t>
  </si>
  <si>
    <t>Lemont Rd to Oldfield Rd, Oldfield Rd to Cass Ave</t>
  </si>
  <si>
    <t>08-16-0027</t>
  </si>
  <si>
    <t>1-78541-0003</t>
  </si>
  <si>
    <t>2014-063-RS&amp;T</t>
  </si>
  <si>
    <t>1-78539-0000</t>
  </si>
  <si>
    <t>C-91-045-15</t>
  </si>
  <si>
    <t>0055456</t>
  </si>
  <si>
    <t>1-78539-0003</t>
  </si>
  <si>
    <t>16-00489-00-BR</t>
  </si>
  <si>
    <t>1-21877-0001</t>
  </si>
  <si>
    <t>P-91-236-16</t>
  </si>
  <si>
    <t>4003698</t>
  </si>
  <si>
    <t>over Rock Run Creek</t>
  </si>
  <si>
    <t>Essington Rd</t>
  </si>
  <si>
    <t>12-16-0007</t>
  </si>
  <si>
    <t>11-00033-00-LS</t>
  </si>
  <si>
    <t>0-01726-1055</t>
  </si>
  <si>
    <t>D-91-253-14</t>
  </si>
  <si>
    <t>00D1958</t>
  </si>
  <si>
    <t>From CN RR to Winfield Rd</t>
  </si>
  <si>
    <t>Butterfield Rd</t>
  </si>
  <si>
    <t>08-11-0004</t>
  </si>
  <si>
    <t>15-00072-00-RS</t>
  </si>
  <si>
    <t>1-21874-0000</t>
  </si>
  <si>
    <t>C-91-158-16</t>
  </si>
  <si>
    <t>4003641</t>
  </si>
  <si>
    <t>Janes Ave to Lemont Rd</t>
  </si>
  <si>
    <t>83rd St</t>
  </si>
  <si>
    <t>08-13-0006</t>
  </si>
  <si>
    <t>15-00011-00-RS</t>
  </si>
  <si>
    <t>1-21872-0000</t>
  </si>
  <si>
    <t>C-91-106-16</t>
  </si>
  <si>
    <t>4003609</t>
  </si>
  <si>
    <t>UP RR to Powis Rd</t>
  </si>
  <si>
    <t>Army Trail Rd</t>
  </si>
  <si>
    <t>Wayne</t>
  </si>
  <si>
    <t>08-11-0027</t>
  </si>
  <si>
    <t>15-00127-00-DR</t>
  </si>
  <si>
    <t>1-21953-0000</t>
  </si>
  <si>
    <t>C-91-311-16</t>
  </si>
  <si>
    <t>01D1050</t>
  </si>
  <si>
    <t>Drainage Improvements</t>
  </si>
  <si>
    <t>Along Lincoln Ave and Beech St</t>
  </si>
  <si>
    <t>10-16-0018</t>
  </si>
  <si>
    <t>15-00117-00-BT</t>
  </si>
  <si>
    <t>0-01726-1059</t>
  </si>
  <si>
    <t>D-91-243-16</t>
  </si>
  <si>
    <t>01D1051</t>
  </si>
  <si>
    <t>Roosevelt Rd to Ring Rd</t>
  </si>
  <si>
    <t>Golf Rd</t>
  </si>
  <si>
    <t>03-16-0004</t>
  </si>
  <si>
    <t>14-F3000-07-BT</t>
  </si>
  <si>
    <t>0-01726-1051</t>
  </si>
  <si>
    <t>D-91-222-16</t>
  </si>
  <si>
    <t>01D1040</t>
  </si>
  <si>
    <t>under UP RR</t>
  </si>
  <si>
    <t>Fox River Trail</t>
  </si>
  <si>
    <t>09-16-0005</t>
  </si>
  <si>
    <t>MPO Planning Funds, using TDC's</t>
  </si>
  <si>
    <t>HPR-66-003-16</t>
  </si>
  <si>
    <t>TDC</t>
  </si>
  <si>
    <t>16-00107-00-RS</t>
  </si>
  <si>
    <t>1-21869-0000</t>
  </si>
  <si>
    <t>C-91-193-16</t>
  </si>
  <si>
    <t>4003658</t>
  </si>
  <si>
    <t>City limits to Meadow View Dr</t>
  </si>
  <si>
    <t>Red Gate</t>
  </si>
  <si>
    <t>09-14-0013</t>
  </si>
  <si>
    <t>1-21869-0003</t>
  </si>
  <si>
    <t>15-00114-00-RS</t>
  </si>
  <si>
    <t>1-21866-0000</t>
  </si>
  <si>
    <t>C-91-416-15</t>
  </si>
  <si>
    <t>4003548</t>
  </si>
  <si>
    <t>Village of Libertyville</t>
  </si>
  <si>
    <t>Libertyville</t>
  </si>
  <si>
    <t>10-15-0014</t>
  </si>
  <si>
    <t>1-21866-0003</t>
  </si>
  <si>
    <t>15-00085-00-RS</t>
  </si>
  <si>
    <t>1-21865-0000</t>
  </si>
  <si>
    <t>C-91-104-16</t>
  </si>
  <si>
    <t>4003607</t>
  </si>
  <si>
    <t>Raddant Rd to Kirk Rd</t>
  </si>
  <si>
    <t>Wilson St</t>
  </si>
  <si>
    <t>Batavia</t>
  </si>
  <si>
    <t>09-14-0017</t>
  </si>
  <si>
    <t>1-21865-0003</t>
  </si>
  <si>
    <t>15-07126-00-RS</t>
  </si>
  <si>
    <t>1-21829-0000</t>
  </si>
  <si>
    <t>C-91-412-15</t>
  </si>
  <si>
    <t>4003544</t>
  </si>
  <si>
    <t>Smith Rd to UP RR</t>
  </si>
  <si>
    <t>Powis Rd</t>
  </si>
  <si>
    <t>Wayne Twp</t>
  </si>
  <si>
    <t>08-15-0012</t>
  </si>
  <si>
    <t>14-E2503-00-PA</t>
  </si>
  <si>
    <t>1-21270-0000</t>
  </si>
  <si>
    <t>C-88-004-15</t>
  </si>
  <si>
    <t>6000478</t>
  </si>
  <si>
    <t>Bridge Painting</t>
  </si>
  <si>
    <t>City of Chicago (#6)</t>
  </si>
  <si>
    <t>01-98-0017</t>
  </si>
  <si>
    <t>1-21270-0003</t>
  </si>
  <si>
    <t>14-E2502-00-PA</t>
  </si>
  <si>
    <t>1-21277-0000</t>
  </si>
  <si>
    <t>C-88-005-15</t>
  </si>
  <si>
    <t>6000477</t>
  </si>
  <si>
    <t>1-21277-0003</t>
  </si>
  <si>
    <t>14-00053-00-BT</t>
  </si>
  <si>
    <t>1-21728-0001</t>
  </si>
  <si>
    <t>P-91-186-15</t>
  </si>
  <si>
    <t>4003460</t>
  </si>
  <si>
    <t>Derby Rd to Bell Rd</t>
  </si>
  <si>
    <t>COM ED ROW</t>
  </si>
  <si>
    <t>06-15-0006</t>
  </si>
  <si>
    <t>15-001-04-00-BR</t>
  </si>
  <si>
    <t>1-21909-0001</t>
  </si>
  <si>
    <t>P-91-239-16</t>
  </si>
  <si>
    <t>4003701</t>
  </si>
  <si>
    <t>Oak St, Cherry St</t>
  </si>
  <si>
    <t>Winnetka</t>
  </si>
  <si>
    <t>02-16-0011</t>
  </si>
  <si>
    <t>15-00099-00-PV</t>
  </si>
  <si>
    <t>1-21907-0001</t>
  </si>
  <si>
    <t>P-91-153-16</t>
  </si>
  <si>
    <t>4003633</t>
  </si>
  <si>
    <t>Pulaski Rd to Kedzie Ave</t>
  </si>
  <si>
    <t>131st St</t>
  </si>
  <si>
    <t>06-16-0007</t>
  </si>
  <si>
    <t>14-00051-00-RS</t>
  </si>
  <si>
    <t>1-21725-0000</t>
  </si>
  <si>
    <t>C-91-260-14</t>
  </si>
  <si>
    <t>4003303</t>
  </si>
  <si>
    <t>George St to I-290</t>
  </si>
  <si>
    <t>Wood Dale</t>
  </si>
  <si>
    <t>08-13-0034</t>
  </si>
  <si>
    <t>15-00100-00-PV</t>
  </si>
  <si>
    <t>1-21856-0000</t>
  </si>
  <si>
    <t>C-91-323-15</t>
  </si>
  <si>
    <t>4003515</t>
  </si>
  <si>
    <t>Wilmot Rd to Telegraph Rd</t>
  </si>
  <si>
    <t>North Ave</t>
  </si>
  <si>
    <t>10-15-0005</t>
  </si>
  <si>
    <t>1-21856-0003</t>
  </si>
  <si>
    <t>14-00029-00-RS</t>
  </si>
  <si>
    <t>1-21870-0000</t>
  </si>
  <si>
    <t>C-91-194-16</t>
  </si>
  <si>
    <t>4003657</t>
  </si>
  <si>
    <t>Bliss Rd, Black Walnut Rd, and Pinecrest Rd</t>
  </si>
  <si>
    <t>Denny Rd</t>
  </si>
  <si>
    <t>09-16-0011</t>
  </si>
  <si>
    <t>14-00033-00-SP</t>
  </si>
  <si>
    <t>1-21722-0001</t>
  </si>
  <si>
    <t>P-91-160-15</t>
  </si>
  <si>
    <t>4003437</t>
  </si>
  <si>
    <t>128th St to 143rd St</t>
  </si>
  <si>
    <t>Crestwood</t>
  </si>
  <si>
    <t>06-15-0003</t>
  </si>
  <si>
    <t>15-00037-00-SW</t>
  </si>
  <si>
    <t>1-21808-0001</t>
  </si>
  <si>
    <t>P-91-002-16</t>
  </si>
  <si>
    <t>4003559</t>
  </si>
  <si>
    <t>at 143rd St</t>
  </si>
  <si>
    <t>Cal Sag Bridge</t>
  </si>
  <si>
    <t>06-15-0020</t>
  </si>
  <si>
    <t>(109B)BR</t>
  </si>
  <si>
    <t>1-78121-0000</t>
  </si>
  <si>
    <t>C-91-534-12</t>
  </si>
  <si>
    <t>0341061</t>
  </si>
  <si>
    <t>Touhy Ave</t>
  </si>
  <si>
    <t>Park Ridge</t>
  </si>
  <si>
    <t>03-11-0004</t>
  </si>
  <si>
    <t>1-78121-0003</t>
  </si>
  <si>
    <t>13-00016-00-BT</t>
  </si>
  <si>
    <t>0-01726-1053</t>
  </si>
  <si>
    <t>D-91-285-16</t>
  </si>
  <si>
    <t>01D1045</t>
  </si>
  <si>
    <t>Pin Oak Dr and Gooding Grove School</t>
  </si>
  <si>
    <t>Heroes Bike Trail</t>
  </si>
  <si>
    <t>12-16-0002</t>
  </si>
  <si>
    <t>15-00007-00-BR</t>
  </si>
  <si>
    <t>1-21875-0001</t>
  </si>
  <si>
    <t>P-91-198-16</t>
  </si>
  <si>
    <t>4003665</t>
  </si>
  <si>
    <t>at Buffalo Creek</t>
  </si>
  <si>
    <t>Robert Parker Coffin Rd</t>
  </si>
  <si>
    <t>Long Grove</t>
  </si>
  <si>
    <t>10-16-0010</t>
  </si>
  <si>
    <t>12-D1304-00-BT</t>
  </si>
  <si>
    <t>1-11016-0030</t>
  </si>
  <si>
    <t>Buffer-protected or barrier-protected bike lanes</t>
  </si>
  <si>
    <t>Various throughout Chicago</t>
  </si>
  <si>
    <t>Streets for Cycling Project #1</t>
  </si>
  <si>
    <t>1-11016-0031</t>
  </si>
  <si>
    <t>09-00052-00-BT</t>
  </si>
  <si>
    <t>1-11016-0004</t>
  </si>
  <si>
    <t>Devon Ave to Jarvis Ave</t>
  </si>
  <si>
    <t>Commonwealth Edison ROW</t>
  </si>
  <si>
    <t>1-11-016-0005</t>
  </si>
  <si>
    <t>3041N-3(12)</t>
  </si>
  <si>
    <t>1-78853-0003</t>
  </si>
  <si>
    <t>at IL 83/Elmhurst Rd</t>
  </si>
  <si>
    <t>1-78853-0000</t>
  </si>
  <si>
    <t>TIGER VI grant</t>
  </si>
  <si>
    <t>05-E5003-00-BR</t>
  </si>
  <si>
    <t>1-20874-0010</t>
  </si>
  <si>
    <t>C-88-001-16</t>
  </si>
  <si>
    <t>6000492</t>
  </si>
  <si>
    <t>TTDG</t>
  </si>
  <si>
    <t>TIGER VI</t>
  </si>
  <si>
    <t>New Pedestrain Bridge</t>
  </si>
  <si>
    <t>1-20874-0020</t>
  </si>
  <si>
    <t>1-20874-0000</t>
  </si>
  <si>
    <t>1-20874-0003</t>
  </si>
  <si>
    <t xml:space="preserve">1-11017-1001 </t>
  </si>
  <si>
    <t xml:space="preserve">1-11017-1002 </t>
  </si>
  <si>
    <t>1-11016-0000</t>
  </si>
  <si>
    <t>UP RR</t>
  </si>
  <si>
    <t>1-11016-0003</t>
  </si>
  <si>
    <t>(30&amp;1820)N-2(12)</t>
  </si>
  <si>
    <t>1-78862-0003</t>
  </si>
  <si>
    <t>at Landwehr Rd</t>
  </si>
  <si>
    <t>1-78859-0000</t>
  </si>
  <si>
    <t>C-1-B</t>
  </si>
  <si>
    <t>1-77442-0000</t>
  </si>
  <si>
    <t>C-91-584-09</t>
  </si>
  <si>
    <t>0577309</t>
  </si>
  <si>
    <t>at Long Run Creek</t>
  </si>
  <si>
    <t>1-77442-0003</t>
  </si>
  <si>
    <t>99(1&amp;2)AC-R-3</t>
  </si>
  <si>
    <t>at Eames St and NB &amp; SB Frontage Rds</t>
  </si>
  <si>
    <t>1-75566-0100</t>
  </si>
  <si>
    <t>13-00092-00-SW</t>
  </si>
  <si>
    <t>1-21521-0000</t>
  </si>
  <si>
    <t>C-91-250-13</t>
  </si>
  <si>
    <t>4003186</t>
  </si>
  <si>
    <t>in Villa Park</t>
  </si>
  <si>
    <t>08-13-0018</t>
  </si>
  <si>
    <t>1-21521-0003</t>
  </si>
  <si>
    <t>3349-T</t>
  </si>
  <si>
    <t>1-79379-0000</t>
  </si>
  <si>
    <t>C-91-152-16</t>
  </si>
  <si>
    <t>000V067</t>
  </si>
  <si>
    <t>143rd St to 151st St, 143rd St to West Ave</t>
  </si>
  <si>
    <t>06-16-0006</t>
  </si>
  <si>
    <t>3041N-4(12)</t>
  </si>
  <si>
    <t>1-78855-0000</t>
  </si>
  <si>
    <t>at McHenry/Wheeling Rd</t>
  </si>
  <si>
    <t>1-78855-0010</t>
  </si>
  <si>
    <t>2015-012I</t>
  </si>
  <si>
    <t>1-79330-0000</t>
  </si>
  <si>
    <t>C-91-291-15</t>
  </si>
  <si>
    <t>000V062</t>
  </si>
  <si>
    <t>Guardrail and Shoulder Improvements</t>
  </si>
  <si>
    <t>County Line Rd to Peck and Anderson Rd</t>
  </si>
  <si>
    <t>IL 38 and IL 64</t>
  </si>
  <si>
    <t>09-15-0002</t>
  </si>
  <si>
    <t>1-79385-0000</t>
  </si>
  <si>
    <t>1-79849-0000</t>
  </si>
  <si>
    <t>15-00054-00-SW</t>
  </si>
  <si>
    <t>0-01687-1005</t>
  </si>
  <si>
    <t>C-91-203-15</t>
  </si>
  <si>
    <t>4009318</t>
  </si>
  <si>
    <t>Various locations in Richton Park</t>
  </si>
  <si>
    <t>07-15-0024</t>
  </si>
  <si>
    <t>0-01687-1004</t>
  </si>
  <si>
    <t>146SA&amp;SBI-R</t>
  </si>
  <si>
    <t>1-72613-0100</t>
  </si>
  <si>
    <t>C-91-136-16</t>
  </si>
  <si>
    <t>2857012</t>
  </si>
  <si>
    <t>Pump Station</t>
  </si>
  <si>
    <t>Pump Station #14</t>
  </si>
  <si>
    <t>Ashland Ave</t>
  </si>
  <si>
    <t>1-21937-0000</t>
  </si>
  <si>
    <t>C-91-216-16</t>
  </si>
  <si>
    <t>4003683</t>
  </si>
  <si>
    <t>from Meacham Rd to Rohlwing Rd and Arlington Hts. Rd to Higgins Rd</t>
  </si>
  <si>
    <t>Biesterfield Rd, Oakton St</t>
  </si>
  <si>
    <t>03-16-0005</t>
  </si>
  <si>
    <t>1-21937-0003</t>
  </si>
  <si>
    <t>16-00078-00-CH</t>
  </si>
  <si>
    <t>1-21934-0001</t>
  </si>
  <si>
    <t>P-91-209-16</t>
  </si>
  <si>
    <t>4003676</t>
  </si>
  <si>
    <t>John Humphrey Dr</t>
  </si>
  <si>
    <t>06-16-0009</t>
  </si>
  <si>
    <t>withdrawn</t>
  </si>
  <si>
    <t>Withdrawn</t>
  </si>
  <si>
    <t>4003520</t>
  </si>
  <si>
    <t>CREATE WA-11</t>
  </si>
  <si>
    <t>WA-11(1)</t>
  </si>
  <si>
    <t>D-20-002-16</t>
  </si>
  <si>
    <t>0020081</t>
  </si>
  <si>
    <t>LY40</t>
  </si>
  <si>
    <t>NRS</t>
  </si>
  <si>
    <t>136th Pl to Monroe St</t>
  </si>
  <si>
    <t>Dolton Interlocking</t>
  </si>
  <si>
    <t>Dolton</t>
  </si>
  <si>
    <t>01-05-0011</t>
  </si>
  <si>
    <t>14-00088-00-PW</t>
  </si>
  <si>
    <t>1-21731-0000</t>
  </si>
  <si>
    <t>C-91-423-14</t>
  </si>
  <si>
    <t>4003377</t>
  </si>
  <si>
    <t>Tangelwood Dr to Haegers Bend Rd</t>
  </si>
  <si>
    <t>Highland Ave</t>
  </si>
  <si>
    <t>Algonquin</t>
  </si>
  <si>
    <t>11-13-0004</t>
  </si>
  <si>
    <t>TIP has BRR ($240,000) and STP-L ($1,168,000) for C</t>
  </si>
  <si>
    <t>1-21741-0000</t>
  </si>
  <si>
    <t>C-91-381-14</t>
  </si>
  <si>
    <t>4003356</t>
  </si>
  <si>
    <t>New Bike/Pedestrian Bridge</t>
  </si>
  <si>
    <t>over West Branch of the DuPage River</t>
  </si>
  <si>
    <t>08-14-0026</t>
  </si>
  <si>
    <t>15-00095-00-RS</t>
  </si>
  <si>
    <t>1-21851-0003</t>
  </si>
  <si>
    <t>C-91-033-16</t>
  </si>
  <si>
    <t>4003578</t>
  </si>
  <si>
    <t>West Corporate limits to Adrmore Ave</t>
  </si>
  <si>
    <t>High Ridge Rd</t>
  </si>
  <si>
    <t>08-14-0016</t>
  </si>
  <si>
    <t>1-21851-0000</t>
  </si>
  <si>
    <t>15-00054-00-RS</t>
  </si>
  <si>
    <t>1-21853-0000</t>
  </si>
  <si>
    <t>C-91-391-15</t>
  </si>
  <si>
    <t>4003536</t>
  </si>
  <si>
    <t>Montgomery Rd to US 30</t>
  </si>
  <si>
    <t>Briarcliff Rd</t>
  </si>
  <si>
    <t>Montgomery</t>
  </si>
  <si>
    <t>09-15-0013</t>
  </si>
  <si>
    <t>15-00046-00-RS</t>
  </si>
  <si>
    <t>1-21854-0003</t>
  </si>
  <si>
    <t>C-91-375-15</t>
  </si>
  <si>
    <t>4003532</t>
  </si>
  <si>
    <t>Spring St to IL 31</t>
  </si>
  <si>
    <t>Concord Ave</t>
  </si>
  <si>
    <t>09-15-0012</t>
  </si>
  <si>
    <t>1-21854-0000</t>
  </si>
  <si>
    <t>61C36</t>
  </si>
  <si>
    <t>1-21258-0003</t>
  </si>
  <si>
    <t>C-91-054-12</t>
  </si>
  <si>
    <t>9003861</t>
  </si>
  <si>
    <t>Taft Ave to Wolf Rd</t>
  </si>
  <si>
    <t>McDermott Dr</t>
  </si>
  <si>
    <t>Berkley</t>
  </si>
  <si>
    <t>04-11-0004</t>
  </si>
  <si>
    <t>1-21258-0000</t>
  </si>
  <si>
    <t>Widening and Reconstruction</t>
  </si>
  <si>
    <t>11-00446-00-CH</t>
  </si>
  <si>
    <t>1-21515-0003</t>
  </si>
  <si>
    <t>C-91-127-14</t>
  </si>
  <si>
    <t>4003254</t>
  </si>
  <si>
    <t>at Essington Rd</t>
  </si>
  <si>
    <t>Canton Farm Rd</t>
  </si>
  <si>
    <t>12-11-0053</t>
  </si>
  <si>
    <t>1-21515-0000</t>
  </si>
  <si>
    <t>Also has TAP funds</t>
  </si>
  <si>
    <t>14-F3000-12-BT</t>
  </si>
  <si>
    <t>1-21840-0100</t>
  </si>
  <si>
    <t>C-91-219-14</t>
  </si>
  <si>
    <t>4003972</t>
  </si>
  <si>
    <t>over County Farm Rd and Kenneyville Tributary</t>
  </si>
  <si>
    <t>08-14-0027</t>
  </si>
  <si>
    <t>14-00006-00-RS</t>
  </si>
  <si>
    <t>1-21750-0000</t>
  </si>
  <si>
    <t>C-91-252-15</t>
  </si>
  <si>
    <t>4003492</t>
  </si>
  <si>
    <t>Burlington Rd to LaFox Rd</t>
  </si>
  <si>
    <t>Old LaFox Rd</t>
  </si>
  <si>
    <t>09-15-0006</t>
  </si>
  <si>
    <t>10-00055-00-WR</t>
  </si>
  <si>
    <t>1-21055-0002</t>
  </si>
  <si>
    <t>D-91-136-11</t>
  </si>
  <si>
    <t>9003728</t>
  </si>
  <si>
    <t>IL 59 to Bartlett Rd</t>
  </si>
  <si>
    <t>03-09-0073</t>
  </si>
  <si>
    <t>70/30</t>
  </si>
  <si>
    <t>15-00193-00-RS</t>
  </si>
  <si>
    <t>1-21843-0003</t>
  </si>
  <si>
    <t>C-91-116-16</t>
  </si>
  <si>
    <t>4003612</t>
  </si>
  <si>
    <t>Village of Glenview</t>
  </si>
  <si>
    <t>02-16-0001</t>
  </si>
  <si>
    <t>1-21843-0000</t>
  </si>
  <si>
    <t>11-00090-02-SM</t>
  </si>
  <si>
    <t>0-01726-1047</t>
  </si>
  <si>
    <t>D-91-070-16</t>
  </si>
  <si>
    <t>01D1024</t>
  </si>
  <si>
    <t>Lake Forest Metra Station (Downtown)</t>
  </si>
  <si>
    <t>Lake Forest</t>
  </si>
  <si>
    <t>10-11-0019</t>
  </si>
  <si>
    <t>12-00255-00-MS</t>
  </si>
  <si>
    <t>1-11016-0068</t>
  </si>
  <si>
    <t>Bike Parking Facilities</t>
  </si>
  <si>
    <t>Oak Park village limits</t>
  </si>
  <si>
    <t>1-11016-0067</t>
  </si>
  <si>
    <t>15-00083-00-PV</t>
  </si>
  <si>
    <t>1-21847-0000</t>
  </si>
  <si>
    <t>C-91-032-16</t>
  </si>
  <si>
    <t>4003579</t>
  </si>
  <si>
    <t>at Community Blvd</t>
  </si>
  <si>
    <t>03-14-0018</t>
  </si>
  <si>
    <t>1-21847-0003</t>
  </si>
  <si>
    <t>12-00059-00-BR</t>
  </si>
  <si>
    <t>1-11016-0043</t>
  </si>
  <si>
    <t>Kilpatrick Ave to Kilbourn Ave</t>
  </si>
  <si>
    <t>1-21057-0000</t>
  </si>
  <si>
    <t>C-91-752-10</t>
  </si>
  <si>
    <t>9003698</t>
  </si>
  <si>
    <t>over East Branch of Chicago River</t>
  </si>
  <si>
    <t>1-21057-0003</t>
  </si>
  <si>
    <t>15-00120-00-RS</t>
  </si>
  <si>
    <t>1-21868-0000</t>
  </si>
  <si>
    <t>C-91-221-16</t>
  </si>
  <si>
    <t>4003688</t>
  </si>
  <si>
    <t>Metra Station Entrance to Irving Park Rd, Plum Grove Rd to Tower Rd</t>
  </si>
  <si>
    <t>Springinsguth Rd, Wiley Rd</t>
  </si>
  <si>
    <t>03-16-0009</t>
  </si>
  <si>
    <t>1-21868-0003</t>
  </si>
  <si>
    <t>12-00106-00-PV</t>
  </si>
  <si>
    <t>1-21370-0002</t>
  </si>
  <si>
    <t>D-91-225-13</t>
  </si>
  <si>
    <t>4003172</t>
  </si>
  <si>
    <t>Oakton Ave to Lincoln St</t>
  </si>
  <si>
    <t>Austin Ave</t>
  </si>
  <si>
    <t>02-13-0002</t>
  </si>
  <si>
    <t>14-00018-00-SG</t>
  </si>
  <si>
    <t>0-01687-1029</t>
  </si>
  <si>
    <t>C-91-120-16</t>
  </si>
  <si>
    <t>4009348</t>
  </si>
  <si>
    <t>Installation of signing and flashing beacons, sidewalks, pavement markings</t>
  </si>
  <si>
    <t>Village of Beecher</t>
  </si>
  <si>
    <t>Beecher</t>
  </si>
  <si>
    <t>12-15-0014</t>
  </si>
  <si>
    <t>0-01687-1030</t>
  </si>
  <si>
    <t>11-00047-00-FP</t>
  </si>
  <si>
    <t>1-21238-0000</t>
  </si>
  <si>
    <t>C-91-600-11</t>
  </si>
  <si>
    <t>9003840</t>
  </si>
  <si>
    <t>Scheer Rd to US 45</t>
  </si>
  <si>
    <t>Steger Rd</t>
  </si>
  <si>
    <t>12-11-0042</t>
  </si>
  <si>
    <t>1-21238-0003</t>
  </si>
  <si>
    <t>11-00044-00-RS</t>
  </si>
  <si>
    <t>1-21244-0000</t>
  </si>
  <si>
    <t>C-91-102-12</t>
  </si>
  <si>
    <t>9003870</t>
  </si>
  <si>
    <t>59th St to 63rd St</t>
  </si>
  <si>
    <t>Garfield Rd</t>
  </si>
  <si>
    <t>Burr Ridge</t>
  </si>
  <si>
    <t>08-11-0024</t>
  </si>
  <si>
    <t>13-00185-00-BR</t>
  </si>
  <si>
    <t>1-21526-0000</t>
  </si>
  <si>
    <t>C-91-092-14</t>
  </si>
  <si>
    <t>4003246</t>
  </si>
  <si>
    <t>Chestnut Ave</t>
  </si>
  <si>
    <t>02-13-0009</t>
  </si>
  <si>
    <t>1-21526-0003</t>
  </si>
  <si>
    <t>4003245</t>
  </si>
  <si>
    <t>06-00040-00-FP</t>
  </si>
  <si>
    <t>1-20871-0002</t>
  </si>
  <si>
    <t>D-91-407-09</t>
  </si>
  <si>
    <t>9003273</t>
  </si>
  <si>
    <t>IL 59 to IL Rt 126</t>
  </si>
  <si>
    <t>12-06-0013</t>
  </si>
  <si>
    <t>15-00081-00-SG</t>
  </si>
  <si>
    <t>0-01687-1035</t>
  </si>
  <si>
    <t>C-91-282-15</t>
  </si>
  <si>
    <t>4009332</t>
  </si>
  <si>
    <t>Solar powered stop signs and radar feedback signs</t>
  </si>
  <si>
    <t>near Kennedy, Washington, and Lincoln elementary schools</t>
  </si>
  <si>
    <t>04-15-0007</t>
  </si>
  <si>
    <t>14-00011-00-BT</t>
  </si>
  <si>
    <t>0-01726-1040</t>
  </si>
  <si>
    <t>C-91-209-15</t>
  </si>
  <si>
    <t>00D1997</t>
  </si>
  <si>
    <t>Lily Lake Rd to Darrell Rd</t>
  </si>
  <si>
    <t>W. Wagner Rd</t>
  </si>
  <si>
    <t>Lakemoor</t>
  </si>
  <si>
    <t>11-14-0011</t>
  </si>
  <si>
    <t>0-01726-1041</t>
  </si>
  <si>
    <t>15-00125-00-PV</t>
  </si>
  <si>
    <t>1-21849-0001</t>
  </si>
  <si>
    <t>P-91-117-16</t>
  </si>
  <si>
    <t>4003613</t>
  </si>
  <si>
    <t>US 41 to Green Bay Rd</t>
  </si>
  <si>
    <t>10-15-0026</t>
  </si>
  <si>
    <t>11-00302-04-CH</t>
  </si>
  <si>
    <t>1-11016-0022</t>
  </si>
  <si>
    <t>Dunham Rd to Clarendon Hills Rd</t>
  </si>
  <si>
    <t>55th St</t>
  </si>
  <si>
    <t>14-00034-00-TL</t>
  </si>
  <si>
    <t>1-21723-0003</t>
  </si>
  <si>
    <t>C-91-192-15</t>
  </si>
  <si>
    <t>4003474</t>
  </si>
  <si>
    <t>Throughout Crestwood (17 intersections)</t>
  </si>
  <si>
    <t>06-15-0010</t>
  </si>
  <si>
    <t>1-21723-0000</t>
  </si>
  <si>
    <t>13-00033-00-RS</t>
  </si>
  <si>
    <t>1-21499-0000</t>
  </si>
  <si>
    <t>C-91-251-13</t>
  </si>
  <si>
    <t>4003188</t>
  </si>
  <si>
    <t>Kenilworth Ave</t>
  </si>
  <si>
    <t>Kenilworth</t>
  </si>
  <si>
    <t>02-13-0006</t>
  </si>
  <si>
    <t>1-21499-0003</t>
  </si>
  <si>
    <t>MCP, IL DEMO ID 524</t>
  </si>
  <si>
    <t>2015-086DM</t>
  </si>
  <si>
    <t>1-77611-0900</t>
  </si>
  <si>
    <t>C-91-173-16</t>
  </si>
  <si>
    <t>0345063</t>
  </si>
  <si>
    <t>Building Demolition</t>
  </si>
  <si>
    <t>I-290/IL 53 to O'Hare West Bypass</t>
  </si>
  <si>
    <t>IL 390 (Elgin O'Hare Expressway)</t>
  </si>
  <si>
    <t>03-96-0021</t>
  </si>
  <si>
    <t>15-00053-00-PV</t>
  </si>
  <si>
    <t>1-21813-0001</t>
  </si>
  <si>
    <t>P-91-423-15</t>
  </si>
  <si>
    <t>4003552</t>
  </si>
  <si>
    <t>76th Ave to Harlem Ave</t>
  </si>
  <si>
    <t>123rd St</t>
  </si>
  <si>
    <t>Palos Heights</t>
  </si>
  <si>
    <t>06-15-0019</t>
  </si>
  <si>
    <t>14-00041-00-BT</t>
  </si>
  <si>
    <t>0-01726-1027</t>
  </si>
  <si>
    <t>P-91-083-15</t>
  </si>
  <si>
    <t>00D1987</t>
  </si>
  <si>
    <t>Joliet Rd to 55th St</t>
  </si>
  <si>
    <t>Brainard Ave</t>
  </si>
  <si>
    <t>Countryside</t>
  </si>
  <si>
    <t>05-14-0003</t>
  </si>
  <si>
    <t>13-00009-00-BR</t>
  </si>
  <si>
    <t>1-21496-0002</t>
  </si>
  <si>
    <t>D-91-167-14</t>
  </si>
  <si>
    <t>4003266</t>
  </si>
  <si>
    <t>over Fox River Tributary</t>
  </si>
  <si>
    <t>Justen Rd</t>
  </si>
  <si>
    <t>Prairie Grove</t>
  </si>
  <si>
    <t>11-14-0001</t>
  </si>
  <si>
    <t>15-00038-07-WR</t>
  </si>
  <si>
    <t>1-21859-0001</t>
  </si>
  <si>
    <t>P-91-159-16</t>
  </si>
  <si>
    <t>0097042</t>
  </si>
  <si>
    <t>STP-County</t>
  </si>
  <si>
    <t>Milwuakee Ave to Saunders Rd</t>
  </si>
  <si>
    <t>10-03-0005</t>
  </si>
  <si>
    <t>2014-065-R</t>
  </si>
  <si>
    <t>1-75566-2100</t>
  </si>
  <si>
    <t>C-91-047-15</t>
  </si>
  <si>
    <t>0055450</t>
  </si>
  <si>
    <t>Ramp and Frontage Reconstruction</t>
  </si>
  <si>
    <t>1-75566-2103</t>
  </si>
  <si>
    <t>15-00113-00-RS</t>
  </si>
  <si>
    <t>1-21828-0003</t>
  </si>
  <si>
    <t>C-91-003-16</t>
  </si>
  <si>
    <t>4003558</t>
  </si>
  <si>
    <t>DesPlaines Ave to Hrlem Ave</t>
  </si>
  <si>
    <t>Madison St</t>
  </si>
  <si>
    <t>04-13-0012</t>
  </si>
  <si>
    <t>14-00115-00-PV</t>
  </si>
  <si>
    <t>1-21822-0002</t>
  </si>
  <si>
    <t>D-91-069-16</t>
  </si>
  <si>
    <t>4003593</t>
  </si>
  <si>
    <t>IL 72 (Higgins Rd) to IL 38 (Golf Rd)</t>
  </si>
  <si>
    <t>Plum Grove Rd</t>
  </si>
  <si>
    <t>03-14-0020</t>
  </si>
  <si>
    <t>50/50 match</t>
  </si>
  <si>
    <t>14-00114-02-PV</t>
  </si>
  <si>
    <t>1-21816-0002</t>
  </si>
  <si>
    <t>D-91-024-16</t>
  </si>
  <si>
    <t>4003572</t>
  </si>
  <si>
    <t>Meacham Rd to Martingale Rd</t>
  </si>
  <si>
    <t>583-R</t>
  </si>
  <si>
    <t>1-78325-0400, 1-74805-0600, 1-74805-0490</t>
  </si>
  <si>
    <t>at Wolf Rd</t>
  </si>
  <si>
    <t>14-00122-00-BT</t>
  </si>
  <si>
    <t>C-91-164-14</t>
  </si>
  <si>
    <t>4009276</t>
  </si>
  <si>
    <t>43N</t>
  </si>
  <si>
    <t>1-74327-0003</t>
  </si>
  <si>
    <t>C-91-147-04</t>
  </si>
  <si>
    <t>1620100</t>
  </si>
  <si>
    <t>at Stony Island Ave</t>
  </si>
  <si>
    <t>Thorton-Lansing Rd</t>
  </si>
  <si>
    <t>Local funds from Lansing</t>
  </si>
  <si>
    <t>1-74327-0000</t>
  </si>
  <si>
    <t>2015-052I</t>
  </si>
  <si>
    <t>1-79384-0000</t>
  </si>
  <si>
    <t>C-91-381-15</t>
  </si>
  <si>
    <t>0094403</t>
  </si>
  <si>
    <t>Saftey Improvements</t>
  </si>
  <si>
    <t>Canal St to MLK Dr</t>
  </si>
  <si>
    <t>13-15-0011</t>
  </si>
  <si>
    <t>15-00082-00-PV</t>
  </si>
  <si>
    <t>1-21815-0002</t>
  </si>
  <si>
    <t>D-91-041-16</t>
  </si>
  <si>
    <t>4003582</t>
  </si>
  <si>
    <t>North Street to Shoals</t>
  </si>
  <si>
    <t>MacGregor Rd</t>
  </si>
  <si>
    <t>12-15-0020</t>
  </si>
  <si>
    <t>0-01726-1036</t>
  </si>
  <si>
    <t>0-01726-1037</t>
  </si>
  <si>
    <t>13-00046-00-LS</t>
  </si>
  <si>
    <t>0-01726-1030, 1-21857-0000</t>
  </si>
  <si>
    <t>C-91-037-14</t>
  </si>
  <si>
    <t>00D1943</t>
  </si>
  <si>
    <t>Salt Creek to I-294/I-88</t>
  </si>
  <si>
    <t>Oak Brook</t>
  </si>
  <si>
    <t>08-13-0022</t>
  </si>
  <si>
    <t>581(TS&amp;N)-14</t>
  </si>
  <si>
    <t>1-78715-0003</t>
  </si>
  <si>
    <t>C-91-339-14</t>
  </si>
  <si>
    <t>0559009</t>
  </si>
  <si>
    <t>at Rt 59 and at Bartlett Rd</t>
  </si>
  <si>
    <t>IL 58</t>
  </si>
  <si>
    <t>03-12-0016</t>
  </si>
  <si>
    <t>1-78715-0000</t>
  </si>
  <si>
    <t>Milled Rumble Strip</t>
  </si>
  <si>
    <t>15-01127-01-BR</t>
  </si>
  <si>
    <t>1-21836-0001</t>
  </si>
  <si>
    <t>P-91-390-15</t>
  </si>
  <si>
    <t>0089184</t>
  </si>
  <si>
    <t>over Indian Creek</t>
  </si>
  <si>
    <t>Rural St</t>
  </si>
  <si>
    <t>09-15-0016</t>
  </si>
  <si>
    <t>LAC</t>
  </si>
  <si>
    <t>1-74805-0600</t>
  </si>
  <si>
    <t>R-91-023-13</t>
  </si>
  <si>
    <t>0349001</t>
  </si>
  <si>
    <t>at 119th St</t>
  </si>
  <si>
    <t>12-12-0009</t>
  </si>
  <si>
    <t>2015-054I</t>
  </si>
  <si>
    <t>1-79675-0003</t>
  </si>
  <si>
    <t>C-91-400-15</t>
  </si>
  <si>
    <t>000V049</t>
  </si>
  <si>
    <t>District One</t>
  </si>
  <si>
    <t>1-79675-0000</t>
  </si>
  <si>
    <t>Installation of roadside truck rollover warning signs.</t>
  </si>
  <si>
    <t>14-00047-00-SW</t>
  </si>
  <si>
    <t>0-01687-3001</t>
  </si>
  <si>
    <t>C-93-044-15</t>
  </si>
  <si>
    <t>4009304</t>
  </si>
  <si>
    <t>Installing Warning signs, Flashing Beacons and Speed Feedback signs</t>
  </si>
  <si>
    <t>at Wolley Rd</t>
  </si>
  <si>
    <t>Traughber Jr. High</t>
  </si>
  <si>
    <t>09-15-0004</t>
  </si>
  <si>
    <t>PM 2.5</t>
  </si>
  <si>
    <t>1-11016-0058</t>
  </si>
  <si>
    <t>14-00098-01-MS</t>
  </si>
  <si>
    <t>South suburbs</t>
  </si>
  <si>
    <t>15-00032-00-SW</t>
  </si>
  <si>
    <t>0-01687-1026</t>
  </si>
  <si>
    <t>C-91-254-15</t>
  </si>
  <si>
    <t>4009325</t>
  </si>
  <si>
    <t>Adjacent to Meadow Lane Elementary School</t>
  </si>
  <si>
    <t>Merrionette Park</t>
  </si>
  <si>
    <t>06-15-0018</t>
  </si>
  <si>
    <t>15-10112-00-BR</t>
  </si>
  <si>
    <t>1-21835-0001</t>
  </si>
  <si>
    <t>P-91-427-15</t>
  </si>
  <si>
    <t>4003555</t>
  </si>
  <si>
    <t>Oak Spring Rd</t>
  </si>
  <si>
    <t>10-15-0018</t>
  </si>
  <si>
    <t>1-21853-0003</t>
  </si>
  <si>
    <t>1-21750-0003</t>
  </si>
  <si>
    <t>15-00077-00-BT</t>
  </si>
  <si>
    <t>1-21844-0001</t>
  </si>
  <si>
    <t>P-91-142-16</t>
  </si>
  <si>
    <t>4003627</t>
  </si>
  <si>
    <t>163rd Pl to 159th St.</t>
  </si>
  <si>
    <t>104th St</t>
  </si>
  <si>
    <t>06-15-0023</t>
  </si>
  <si>
    <t>12-00069-00-CH</t>
  </si>
  <si>
    <t>1-21365-0002</t>
  </si>
  <si>
    <t>D-91-447-12</t>
  </si>
  <si>
    <t>4003033</t>
  </si>
  <si>
    <t>at 147th St</t>
  </si>
  <si>
    <t>Ravinia Ave</t>
  </si>
  <si>
    <t>06-12-0013</t>
  </si>
  <si>
    <t>14-00087-00-BR</t>
  </si>
  <si>
    <t>1-21786-0001</t>
  </si>
  <si>
    <t>P-91-080-15</t>
  </si>
  <si>
    <t>4003406</t>
  </si>
  <si>
    <t xml:space="preserve">over Addison Creek </t>
  </si>
  <si>
    <t>Roy Ave</t>
  </si>
  <si>
    <t>04-14-0009</t>
  </si>
  <si>
    <t>15-00192-00-RS</t>
  </si>
  <si>
    <t>1-21838-0002</t>
  </si>
  <si>
    <t>D-91-043-16</t>
  </si>
  <si>
    <t>4003584</t>
  </si>
  <si>
    <t>Harlem Ave to Waukegan Rd</t>
  </si>
  <si>
    <t>Glenview Rd</t>
  </si>
  <si>
    <t>02-12-0013</t>
  </si>
  <si>
    <t>10Y-TS-1</t>
  </si>
  <si>
    <t>1-78719-0004</t>
  </si>
  <si>
    <t>R-91-022-14</t>
  </si>
  <si>
    <t>0311050</t>
  </si>
  <si>
    <t>at Columbia Ave</t>
  </si>
  <si>
    <t>US 34 (Ogden)</t>
  </si>
  <si>
    <t>08-12-0014</t>
  </si>
  <si>
    <t>1-21850-0001</t>
  </si>
  <si>
    <t>P-91-341-15</t>
  </si>
  <si>
    <t>4003517</t>
  </si>
  <si>
    <t>Gladstone St</t>
  </si>
  <si>
    <t>Westchester</t>
  </si>
  <si>
    <t>04-15-0010</t>
  </si>
  <si>
    <t>14-F3000-14-LS</t>
  </si>
  <si>
    <t>1-21840-0000</t>
  </si>
  <si>
    <t>C-91-121-16</t>
  </si>
  <si>
    <t>4003619</t>
  </si>
  <si>
    <t>Tree Removal</t>
  </si>
  <si>
    <t>County Fard rd to Hanover Park</t>
  </si>
  <si>
    <t>Mallard Lake FP</t>
  </si>
  <si>
    <t>0-01542-1003</t>
  </si>
  <si>
    <t>south of 26th St</t>
  </si>
  <si>
    <t>1-21837-0002</t>
  </si>
  <si>
    <t>D-91-125-16</t>
  </si>
  <si>
    <t>4003620</t>
  </si>
  <si>
    <t>1-21252-0004</t>
  </si>
  <si>
    <t>R-91-005-15</t>
  </si>
  <si>
    <t>0197133</t>
  </si>
  <si>
    <t>Farrel</t>
  </si>
  <si>
    <t>11-00087-01-PV</t>
  </si>
  <si>
    <t>1-21814-0004</t>
  </si>
  <si>
    <t>R-90-004-16</t>
  </si>
  <si>
    <t>4003576</t>
  </si>
  <si>
    <t>Barrington</t>
  </si>
  <si>
    <t>03-14-0010</t>
  </si>
  <si>
    <t>08-00083-00-CH</t>
  </si>
  <si>
    <t>1-21529-0004</t>
  </si>
  <si>
    <t>R-91-019-08</t>
  </si>
  <si>
    <t>9003004</t>
  </si>
  <si>
    <t>at Huntley Rd</t>
  </si>
  <si>
    <t>09-08-0005</t>
  </si>
  <si>
    <t>07-00165-00-TL</t>
  </si>
  <si>
    <t>0-01667-1002</t>
  </si>
  <si>
    <t>C-91-375-07</t>
  </si>
  <si>
    <t>8003848</t>
  </si>
  <si>
    <t>at Ridge Rd</t>
  </si>
  <si>
    <t>07-06-0059</t>
  </si>
  <si>
    <t>0-01667-1001</t>
  </si>
  <si>
    <t>14-00220-00-TL</t>
  </si>
  <si>
    <t>1-21812-0002</t>
  </si>
  <si>
    <t>D-91-008-16</t>
  </si>
  <si>
    <t>4003560</t>
  </si>
  <si>
    <t>Algonquin Rd to Oakton St and Forest Ave</t>
  </si>
  <si>
    <t>Lee St</t>
  </si>
  <si>
    <t>DesPlaines</t>
  </si>
  <si>
    <t>03-14-0006</t>
  </si>
  <si>
    <t>07-00068-00-BR</t>
  </si>
  <si>
    <t>1-20622-0003</t>
  </si>
  <si>
    <t>C-91-479-09</t>
  </si>
  <si>
    <t>9003276</t>
  </si>
  <si>
    <t>over Mill Creek</t>
  </si>
  <si>
    <t>Deerpath Rd</t>
  </si>
  <si>
    <t>09-09-0058</t>
  </si>
  <si>
    <t>1-20622-0000</t>
  </si>
  <si>
    <t>14-E4704-00-BR</t>
  </si>
  <si>
    <t>1-21762-0000</t>
  </si>
  <si>
    <t>P-88-002-15</t>
  </si>
  <si>
    <t>6000475</t>
  </si>
  <si>
    <t>over Jackson Park Lagoon</t>
  </si>
  <si>
    <t>Columbia Bridge</t>
  </si>
  <si>
    <t>01-14-0010</t>
  </si>
  <si>
    <t>1-21526-0002</t>
  </si>
  <si>
    <t>D-91-092-14</t>
  </si>
  <si>
    <t>10-00046-00-BR</t>
  </si>
  <si>
    <t>1-21146-0002</t>
  </si>
  <si>
    <t>D-91-262-11</t>
  </si>
  <si>
    <t>9003759</t>
  </si>
  <si>
    <t>over Union Ditch</t>
  </si>
  <si>
    <t xml:space="preserve">St Francis Rd </t>
  </si>
  <si>
    <t>12-11-0011</t>
  </si>
  <si>
    <t>2015-011I</t>
  </si>
  <si>
    <t>1-79382-0003</t>
  </si>
  <si>
    <t>C-91-292-15</t>
  </si>
  <si>
    <t>0290203</t>
  </si>
  <si>
    <t>I-355 to I-294</t>
  </si>
  <si>
    <t>I-290</t>
  </si>
  <si>
    <t>08-15-0028</t>
  </si>
  <si>
    <t>1-79382-0000</t>
  </si>
  <si>
    <t>13-00094-00-BT</t>
  </si>
  <si>
    <t>0-01726-1031</t>
  </si>
  <si>
    <t>C-91-021-16</t>
  </si>
  <si>
    <t>00D1017</t>
  </si>
  <si>
    <t>Village of Palatine</t>
  </si>
  <si>
    <t>03-13-0005</t>
  </si>
  <si>
    <t>15-00163-00-BT</t>
  </si>
  <si>
    <t>0-01726-1029</t>
  </si>
  <si>
    <t>C-91-260-15</t>
  </si>
  <si>
    <t>00D1998</t>
  </si>
  <si>
    <t>Village of Northbrook</t>
  </si>
  <si>
    <t>02-15-0002</t>
  </si>
  <si>
    <t>3114-N(14)</t>
  </si>
  <si>
    <t>1-78311-0001, 1-74805-0600</t>
  </si>
  <si>
    <t>R-90-023-13</t>
  </si>
  <si>
    <t>0344061</t>
  </si>
  <si>
    <t>at IL 171</t>
  </si>
  <si>
    <t>ILL 83</t>
  </si>
  <si>
    <t>13-00043-00-BR</t>
  </si>
  <si>
    <t>0-01726-1032, 1-21839-0000, 0-01726-1033</t>
  </si>
  <si>
    <t>C-91-286-13</t>
  </si>
  <si>
    <t>00D1927</t>
  </si>
  <si>
    <t>Water St to River St</t>
  </si>
  <si>
    <t>State St</t>
  </si>
  <si>
    <t>09-13-0007</t>
  </si>
  <si>
    <t>1-21821-0002</t>
  </si>
  <si>
    <t>D-91-037-16</t>
  </si>
  <si>
    <t>4003580</t>
  </si>
  <si>
    <t>Glenview Rd to Golf Rd</t>
  </si>
  <si>
    <t>16R-1-P4</t>
  </si>
  <si>
    <t>0-1542-1004</t>
  </si>
  <si>
    <t>C-91-134-16</t>
  </si>
  <si>
    <t>0029118</t>
  </si>
  <si>
    <t>US 12/20 west of Ewing St</t>
  </si>
  <si>
    <t>CSL RR</t>
  </si>
  <si>
    <t>16R-1-P1</t>
  </si>
  <si>
    <t>0-1542-1000</t>
  </si>
  <si>
    <t>C-91-131-16</t>
  </si>
  <si>
    <t>0391042</t>
  </si>
  <si>
    <t>at Archer Ave</t>
  </si>
  <si>
    <t>BRC RR</t>
  </si>
  <si>
    <t>12-00137-00-SP</t>
  </si>
  <si>
    <t>0-01687-1024</t>
  </si>
  <si>
    <t>P-40-669-16</t>
  </si>
  <si>
    <t>0140669</t>
  </si>
  <si>
    <t>Speed Feedback Trailers</t>
  </si>
  <si>
    <t xml:space="preserve">at James Hart Elementary School </t>
  </si>
  <si>
    <t>07-12-0019</t>
  </si>
  <si>
    <t>14-00051-00-BT</t>
  </si>
  <si>
    <t>1-21724-0001</t>
  </si>
  <si>
    <t>P-91-189-15</t>
  </si>
  <si>
    <t>4003469</t>
  </si>
  <si>
    <t>Illinois St to IL 83 (Robert Kingery)</t>
  </si>
  <si>
    <t>06-15-0004</t>
  </si>
  <si>
    <t>30% match</t>
  </si>
  <si>
    <t>1-21819-0002</t>
  </si>
  <si>
    <t>D-91-294-15</t>
  </si>
  <si>
    <t>4003502</t>
  </si>
  <si>
    <t>1-21555-0002</t>
  </si>
  <si>
    <t>D-91-429-11</t>
  </si>
  <si>
    <t>9003795</t>
  </si>
  <si>
    <t>Wolf Rd to Mannheim Rd</t>
  </si>
  <si>
    <t>04-11-0009</t>
  </si>
  <si>
    <t>15-00061-00-BR</t>
  </si>
  <si>
    <t>1-21811-0001</t>
  </si>
  <si>
    <t>P-91-007-16</t>
  </si>
  <si>
    <t>4003563</t>
  </si>
  <si>
    <t>over Willow Creek</t>
  </si>
  <si>
    <t>Brickvale Dr</t>
  </si>
  <si>
    <t>03-15-0006</t>
  </si>
  <si>
    <t>1-21820-0002</t>
  </si>
  <si>
    <t>D-91-060-16</t>
  </si>
  <si>
    <t>4003587</t>
  </si>
  <si>
    <t>1-21421-0002</t>
  </si>
  <si>
    <t>D-91-358-13</t>
  </si>
  <si>
    <t>4003203</t>
  </si>
  <si>
    <t>15-16108-01-BR</t>
  </si>
  <si>
    <t>1-21817-0001</t>
  </si>
  <si>
    <t>P-91-072-16</t>
  </si>
  <si>
    <t>0197137</t>
  </si>
  <si>
    <t>over Lily Cache creek</t>
  </si>
  <si>
    <t>Lily Cache Rd</t>
  </si>
  <si>
    <t>Plainfield Twp</t>
  </si>
  <si>
    <t>12-15-0018</t>
  </si>
  <si>
    <t>1-21814-0002</t>
  </si>
  <si>
    <t>D-91-030-16</t>
  </si>
  <si>
    <t>4003575</t>
  </si>
  <si>
    <t>Obligation Change</t>
  </si>
  <si>
    <t>Original Obligation</t>
  </si>
  <si>
    <t>Current Version Date in FMIS</t>
  </si>
  <si>
    <t>FMIS Obligation Type</t>
  </si>
  <si>
    <t>AC</t>
  </si>
  <si>
    <t>Letting Date</t>
  </si>
  <si>
    <t>MME</t>
  </si>
  <si>
    <t>05-10-0008</t>
  </si>
  <si>
    <t>Northwest</t>
  </si>
  <si>
    <t>Roads &amp; Bridges</t>
  </si>
  <si>
    <t>Bicycle &amp; Pedestrian</t>
  </si>
  <si>
    <t>Active Transportation</t>
  </si>
  <si>
    <t>Freight</t>
  </si>
  <si>
    <t>System Management/ITS</t>
  </si>
  <si>
    <t>Signal Systems</t>
  </si>
  <si>
    <t>Transportation Enhancements</t>
  </si>
  <si>
    <t>ADA Improvements</t>
  </si>
  <si>
    <t>Road Signals &amp; Signs</t>
  </si>
  <si>
    <t>Intersection/Interchange Improvements</t>
  </si>
  <si>
    <t>Bridge Repair, Rehab, or Replace</t>
  </si>
  <si>
    <t>Parking</t>
  </si>
  <si>
    <t>Freight Movement</t>
  </si>
  <si>
    <t>transit Station/Stop Improvements</t>
  </si>
  <si>
    <t>NHS</t>
  </si>
  <si>
    <t>STP-E</t>
  </si>
  <si>
    <t>RL HWY CROSS HAZ ELIM S-LU EXT</t>
  </si>
  <si>
    <t>RAIL HWY PROTECTIVE DEVICES</t>
  </si>
  <si>
    <t>NAT'L CORR INF IMP PROGRAM</t>
  </si>
  <si>
    <t>TAP-L</t>
  </si>
  <si>
    <t>RAIL HWY CROSSING HAZARD ELIM</t>
  </si>
  <si>
    <t>INTERSTATE MAINTENANCE</t>
  </si>
  <si>
    <t>IL 64 North Ave</t>
  </si>
  <si>
    <t>at Salt Creek</t>
  </si>
  <si>
    <t>Burbank</t>
  </si>
  <si>
    <t>79th St</t>
  </si>
  <si>
    <t>at State Rd</t>
  </si>
  <si>
    <t>Monroe St to Albion Ave</t>
  </si>
  <si>
    <t>I-90 I-94</t>
  </si>
  <si>
    <t>I-290 Congress Pkwy to Adams St, Under Van Buren St</t>
  </si>
  <si>
    <t>I-90 I-94 Kennedy Expy</t>
  </si>
  <si>
    <t>at Ohio St</t>
  </si>
  <si>
    <t>Broadway St to Thronton Rd</t>
  </si>
  <si>
    <t>Dixmoor, Riverdale</t>
  </si>
  <si>
    <t>IL 50 Cicero Ave</t>
  </si>
  <si>
    <t>55th St to 127th St/I-294</t>
  </si>
  <si>
    <t>Edgewood Rd</t>
  </si>
  <si>
    <t>over Rat Creek</t>
  </si>
  <si>
    <t>Royce Rd to Remington Blvd</t>
  </si>
  <si>
    <t>IL 62 Algonquin Rd</t>
  </si>
  <si>
    <t>IL 83 Barron Blvd</t>
  </si>
  <si>
    <t>Highland Rd to Frederick Rd</t>
  </si>
  <si>
    <t>at Addison Creek</t>
  </si>
  <si>
    <t>Vernon Hills</t>
  </si>
  <si>
    <t>Oswego, Yorkville</t>
  </si>
  <si>
    <t>US 34 Veterans Pkwy</t>
  </si>
  <si>
    <t>IL 47 Bridge St to Orchard Rd</t>
  </si>
  <si>
    <t>Homer Glen, Orland Park</t>
  </si>
  <si>
    <t>Mokena</t>
  </si>
  <si>
    <t>East Dundee</t>
  </si>
  <si>
    <t>Beach Park</t>
  </si>
  <si>
    <t>IL 43 Harlem Ave to Ridgeland Ave and IL 83 Ridgeland Ave to Cal-Sag Rd</t>
  </si>
  <si>
    <t>Alsip, Palos Heights</t>
  </si>
  <si>
    <t>Meridian Lake Dr to IL 59 Metra Station</t>
  </si>
  <si>
    <t>IL 83 Kingery Hwy</t>
  </si>
  <si>
    <t>US 6 159th St</t>
  </si>
  <si>
    <t>at IL 83 Torrence Ave</t>
  </si>
  <si>
    <t>Ashland Ave to IL 1 Halsted St</t>
  </si>
  <si>
    <t>at US 6 Eames St and NB &amp; SB Frontage Rds</t>
  </si>
  <si>
    <t>I-55 from east of Willow Springs Rd to Kedzie Ave</t>
  </si>
  <si>
    <t>from I-94 Dan Ryan to US 41 Lake Shore Dr</t>
  </si>
  <si>
    <t>IL 7 Southwest Hwy</t>
  </si>
  <si>
    <t>US 14 Northwest Hwy</t>
  </si>
  <si>
    <t>at IL 19 Irving Park Rd</t>
  </si>
  <si>
    <t>IL 21  Milwaukee Ave</t>
  </si>
  <si>
    <t>at IL 58 Golf Rd</t>
  </si>
  <si>
    <t>IL 1 Halsted St</t>
  </si>
  <si>
    <t>Garnsey Ave</t>
  </si>
  <si>
    <t>Intelligent Transportation Systems</t>
  </si>
  <si>
    <t>Burnham</t>
  </si>
  <si>
    <t>ADA</t>
  </si>
  <si>
    <t>Pedestrian</t>
  </si>
  <si>
    <t>STP-R</t>
  </si>
  <si>
    <t>13-16-0009</t>
  </si>
  <si>
    <t>08-16-0034</t>
  </si>
  <si>
    <t>Facilities</t>
  </si>
  <si>
    <t>North Shore</t>
  </si>
  <si>
    <t>North Central</t>
  </si>
  <si>
    <t>Southwest</t>
  </si>
  <si>
    <t>10-Not in TIP</t>
  </si>
  <si>
    <t>13-Not in TIP</t>
  </si>
  <si>
    <t>01-Not in TIP</t>
  </si>
  <si>
    <t>02-Not in TIP</t>
  </si>
  <si>
    <t>06-Not in TIP</t>
  </si>
  <si>
    <t>07-Not in TIP</t>
  </si>
  <si>
    <t>03-Not in TIP</t>
  </si>
  <si>
    <t>08-Not in TIP</t>
  </si>
  <si>
    <t>12-Not in TIP</t>
  </si>
  <si>
    <t>09-Not in TIP</t>
  </si>
  <si>
    <t>11-Not in TIP</t>
  </si>
  <si>
    <t>ADA improvements, sidewalk replacement</t>
  </si>
  <si>
    <t>ADA ramps</t>
  </si>
  <si>
    <t>Add lanes, lane reconstruction</t>
  </si>
  <si>
    <t>Add left turn lane</t>
  </si>
  <si>
    <t>Add medians, streetscape improvements</t>
  </si>
  <si>
    <t>Add turn lanes</t>
  </si>
  <si>
    <t>Bicycle and Pedestrian Facilities</t>
  </si>
  <si>
    <t>Bridge Inspections</t>
  </si>
  <si>
    <t>Channelization and signal upgrades</t>
  </si>
  <si>
    <t>Full Reconstruction</t>
  </si>
  <si>
    <t>Highway Rail Crossing Realingment</t>
  </si>
  <si>
    <t>Highway/Railroad Signal Interconnect</t>
  </si>
  <si>
    <t>Install Cameras</t>
  </si>
  <si>
    <t>Install right turn lane and signal modernization</t>
  </si>
  <si>
    <t>Install and replace traffic signals</t>
  </si>
  <si>
    <t>Install roadside truck rollover warning signs</t>
  </si>
  <si>
    <t>Install signing and flashing beacons, sidewalks, pavement markings</t>
  </si>
  <si>
    <t>Install signing for bicycle routes</t>
  </si>
  <si>
    <t>Install street lights</t>
  </si>
  <si>
    <t>Install warning signs, flashing beacons and speed feedback signs</t>
  </si>
  <si>
    <t>Interchange Improvements</t>
  </si>
  <si>
    <t>Purchase snowmobile trail grooming equipment</t>
  </si>
  <si>
    <t>Lane Control System Modernization</t>
  </si>
  <si>
    <t>New Multi-use path</t>
  </si>
  <si>
    <t>New Pedestrain Path</t>
  </si>
  <si>
    <t>New Pedestrian Underpass</t>
  </si>
  <si>
    <t>Add right turn lane, signal modernization</t>
  </si>
  <si>
    <t>Install traffic signals</t>
  </si>
  <si>
    <t>Overpass Replacement</t>
  </si>
  <si>
    <t>Parking Lot Expansion</t>
  </si>
  <si>
    <t>Patching, sidewalk replacement</t>
  </si>
  <si>
    <t>Pedestrian path improevements</t>
  </si>
  <si>
    <t>New Pedestrian Overpass</t>
  </si>
  <si>
    <t>Purchase 12 Compressed Natural Gas Vehicles</t>
  </si>
  <si>
    <t>Reconstruction and Resurfacing</t>
  </si>
  <si>
    <t>Reconstruction, widening &amp; resurfacing</t>
  </si>
  <si>
    <t>Replace Culverts</t>
  </si>
  <si>
    <t>Replace Lightig</t>
  </si>
  <si>
    <t>Resurfacing, Bridge Rehabilitation</t>
  </si>
  <si>
    <t>Resurfacing, Reconstruction, Traffic Signal Improvements</t>
  </si>
  <si>
    <t>Road widening, resurfacing, traffic signal modernization</t>
  </si>
  <si>
    <t>Roadway Widening</t>
  </si>
  <si>
    <t>Safety Improvements</t>
  </si>
  <si>
    <t>Safety signage installation</t>
  </si>
  <si>
    <t>Signal Modernization</t>
  </si>
  <si>
    <t>Streetscape Improvements</t>
  </si>
  <si>
    <t>Traffic Signal Interconnect</t>
  </si>
  <si>
    <t>Utility Adjustment, Landscaping, Safety</t>
  </si>
  <si>
    <t>Pedestrian Improvements</t>
  </si>
  <si>
    <t>Widening and Resurfacing</t>
  </si>
  <si>
    <t>Widening, Resurfacing and Traffic Signal Modernization</t>
  </si>
  <si>
    <t>IM</t>
  </si>
  <si>
    <t>State Only Chicago</t>
  </si>
  <si>
    <t xml:space="preserve">Transportation Sales 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</si>
</sst>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quot;$&quot;#,##0"/>
    <numFmt numFmtId="166" formatCode="_(&quot;$&quot;* #,##0_);_(&quot;$&quot;* \(#,##0\);_(&quot;$&quot;* &quot;-&quot;??_);_(@_)"/>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1"/>
      <name val="Calibri"/>
      <family val="2"/>
      <scheme val="minor"/>
    </font>
    <font>
      <sz val="11"/>
      <name val="Calibri"/>
      <family val="2"/>
    </font>
    <font>
      <b/>
      <sz val="18"/>
      <color theme="3"/>
      <name val="Calibri Light"/>
      <family val="2"/>
      <scheme val="major"/>
    </font>
    <font>
      <sz val="10"/>
      <name val="Arial"/>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2" fillId="0" borderId="0" applyFont="0" applyFill="0" applyBorder="0" applyAlignment="0" applyProtection="0"/>
    <xf numFmtId="0" fontId="7" fillId="0" borderId="0"/>
    <xf numFmtId="0" fontId="8" fillId="0" borderId="0" applyNumberFormat="0" applyFill="0" applyBorder="0" applyAlignment="0" applyProtection="0"/>
  </cellStyleXfs>
  <cellXfs count="236">
    <xf numFmtId="0" fontId="0" fillId="0" borderId="0" xfId="0"/>
    <xf numFmtId="0" fontId="1" fillId="0" borderId="0" xfId="0"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0" fillId="0" borderId="0" xfId="0" applyAlignment="1">
      <alignment wrapText="1"/>
    </xf>
    <xf numFmtId="164" fontId="0" fillId="0" borderId="0" xfId="0" applyNumberFormat="1" applyAlignment="1">
      <alignment wrapText="1"/>
    </xf>
    <xf numFmtId="164" fontId="0" fillId="0" borderId="0" xfId="0" applyNumberFormat="1"/>
    <xf numFmtId="0" fontId="0" fillId="0" borderId="0" xfId="0" applyFont="1"/>
    <xf numFmtId="0" fontId="0" fillId="0" borderId="0" xfId="0" applyFont="1" applyAlignment="1">
      <alignment wrapText="1"/>
    </xf>
    <xf numFmtId="164" fontId="0" fillId="0" borderId="0" xfId="0" applyNumberFormat="1" applyFont="1"/>
    <xf numFmtId="0" fontId="3" fillId="0" borderId="0" xfId="0" applyFont="1"/>
    <xf numFmtId="0" fontId="0" fillId="0" borderId="0" xfId="0" applyFont="1" applyBorder="1" applyAlignment="1">
      <alignment wrapText="1"/>
    </xf>
    <xf numFmtId="164" fontId="0" fillId="0" borderId="0" xfId="0" applyNumberFormat="1" applyFont="1" applyBorder="1" applyAlignment="1">
      <alignment wrapText="1"/>
    </xf>
    <xf numFmtId="0" fontId="1" fillId="0" borderId="0" xfId="0" applyFont="1" applyAlignment="1">
      <alignment wrapText="1"/>
    </xf>
    <xf numFmtId="164" fontId="1" fillId="0" borderId="0" xfId="0" applyNumberFormat="1" applyFont="1" applyAlignment="1">
      <alignment wrapText="1"/>
    </xf>
    <xf numFmtId="0" fontId="0" fillId="0" borderId="0" xfId="0" applyFill="1" applyAlignment="1">
      <alignment wrapText="1"/>
    </xf>
    <xf numFmtId="0" fontId="0" fillId="0" borderId="0" xfId="0" applyFill="1" applyBorder="1" applyAlignment="1">
      <alignment wrapText="1"/>
    </xf>
    <xf numFmtId="0" fontId="1"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0" borderId="2" xfId="0" applyFont="1" applyFill="1" applyBorder="1" applyAlignment="1">
      <alignment wrapText="1"/>
    </xf>
    <xf numFmtId="49" fontId="0" fillId="0" borderId="0" xfId="0" applyNumberFormat="1" applyAlignment="1"/>
    <xf numFmtId="0" fontId="0" fillId="0" borderId="0" xfId="0" applyAlignment="1"/>
    <xf numFmtId="14" fontId="1" fillId="0" borderId="1" xfId="0" applyNumberFormat="1" applyFont="1" applyBorder="1" applyAlignment="1">
      <alignment horizontal="center" wrapText="1"/>
    </xf>
    <xf numFmtId="6" fontId="1" fillId="0" borderId="1" xfId="0" applyNumberFormat="1" applyFont="1" applyBorder="1" applyAlignment="1">
      <alignment horizontal="center" wrapText="1"/>
    </xf>
    <xf numFmtId="6" fontId="1" fillId="0" borderId="1" xfId="0" applyNumberFormat="1" applyFont="1" applyBorder="1" applyAlignment="1">
      <alignment wrapText="1"/>
    </xf>
    <xf numFmtId="0" fontId="1" fillId="0" borderId="1" xfId="0" applyFont="1" applyFill="1" applyBorder="1" applyAlignment="1">
      <alignment wrapText="1"/>
    </xf>
    <xf numFmtId="14" fontId="0" fillId="0" borderId="1" xfId="0" applyNumberFormat="1" applyBorder="1"/>
    <xf numFmtId="0" fontId="0" fillId="0" borderId="1" xfId="0" applyBorder="1"/>
    <xf numFmtId="49" fontId="0" fillId="0" borderId="1" xfId="0" applyNumberFormat="1" applyBorder="1" applyAlignment="1">
      <alignment horizontal="center"/>
    </xf>
    <xf numFmtId="6" fontId="0" fillId="0" borderId="1" xfId="0" applyNumberFormat="1" applyBorder="1"/>
    <xf numFmtId="0" fontId="1" fillId="0" borderId="1" xfId="0" applyFont="1" applyBorder="1"/>
    <xf numFmtId="0" fontId="0" fillId="0" borderId="1" xfId="0" applyBorder="1" applyAlignment="1">
      <alignment wrapText="1"/>
    </xf>
    <xf numFmtId="14" fontId="0" fillId="0" borderId="3" xfId="0" applyNumberFormat="1" applyBorder="1"/>
    <xf numFmtId="0" fontId="0" fillId="0" borderId="3" xfId="0" applyBorder="1"/>
    <xf numFmtId="49" fontId="0" fillId="0" borderId="3" xfId="0" applyNumberFormat="1" applyBorder="1" applyAlignment="1">
      <alignment horizontal="center"/>
    </xf>
    <xf numFmtId="6" fontId="0" fillId="0" borderId="3" xfId="0" applyNumberFormat="1" applyBorder="1"/>
    <xf numFmtId="0" fontId="1" fillId="0" borderId="3" xfId="0" applyFont="1" applyBorder="1"/>
    <xf numFmtId="0" fontId="0" fillId="0" borderId="3" xfId="0" applyBorder="1" applyAlignment="1">
      <alignment wrapText="1"/>
    </xf>
    <xf numFmtId="14" fontId="0" fillId="2" borderId="4" xfId="0" applyNumberFormat="1" applyFill="1" applyBorder="1"/>
    <xf numFmtId="14" fontId="0" fillId="2" borderId="5" xfId="0" applyNumberFormat="1" applyFill="1" applyBorder="1"/>
    <xf numFmtId="0" fontId="0" fillId="2" borderId="5" xfId="0" applyFill="1" applyBorder="1"/>
    <xf numFmtId="49" fontId="0" fillId="2" borderId="5" xfId="0" applyNumberFormat="1" applyFill="1" applyBorder="1" applyAlignment="1">
      <alignment horizontal="center"/>
    </xf>
    <xf numFmtId="6" fontId="0" fillId="2" borderId="5" xfId="0" applyNumberFormat="1" applyFill="1" applyBorder="1"/>
    <xf numFmtId="0" fontId="1" fillId="2" borderId="5" xfId="0" applyFont="1" applyFill="1" applyBorder="1"/>
    <xf numFmtId="0" fontId="0" fillId="2" borderId="5" xfId="0" applyFill="1" applyBorder="1" applyAlignment="1">
      <alignment wrapText="1"/>
    </xf>
    <xf numFmtId="0" fontId="0" fillId="2" borderId="6" xfId="0" applyFill="1" applyBorder="1"/>
    <xf numFmtId="14" fontId="0" fillId="2" borderId="7" xfId="0" applyNumberFormat="1" applyFill="1" applyBorder="1"/>
    <xf numFmtId="14" fontId="0" fillId="2" borderId="8" xfId="0" applyNumberFormat="1" applyFill="1" applyBorder="1"/>
    <xf numFmtId="0" fontId="0" fillId="2" borderId="8" xfId="0" applyFill="1" applyBorder="1"/>
    <xf numFmtId="49" fontId="0" fillId="2" borderId="8" xfId="0" applyNumberFormat="1" applyFill="1" applyBorder="1" applyAlignment="1">
      <alignment horizontal="center"/>
    </xf>
    <xf numFmtId="6" fontId="0" fillId="2" borderId="8" xfId="0" applyNumberFormat="1" applyFill="1" applyBorder="1"/>
    <xf numFmtId="0" fontId="1" fillId="2" borderId="8" xfId="0" applyFont="1" applyFill="1" applyBorder="1"/>
    <xf numFmtId="0" fontId="0" fillId="2" borderId="8" xfId="0" applyFill="1" applyBorder="1" applyAlignment="1">
      <alignment wrapText="1"/>
    </xf>
    <xf numFmtId="0" fontId="0" fillId="2" borderId="9" xfId="0" applyFill="1" applyBorder="1"/>
    <xf numFmtId="14" fontId="0" fillId="0" borderId="10" xfId="0" applyNumberFormat="1" applyFill="1" applyBorder="1"/>
    <xf numFmtId="0" fontId="0" fillId="0" borderId="10" xfId="0" applyFill="1" applyBorder="1"/>
    <xf numFmtId="49" fontId="0" fillId="0" borderId="10" xfId="0" applyNumberFormat="1" applyFill="1" applyBorder="1" applyAlignment="1">
      <alignment horizontal="center"/>
    </xf>
    <xf numFmtId="6" fontId="0" fillId="0" borderId="10" xfId="0" applyNumberFormat="1" applyFill="1" applyBorder="1"/>
    <xf numFmtId="0" fontId="1" fillId="0" borderId="10" xfId="0" applyFont="1" applyFill="1" applyBorder="1"/>
    <xf numFmtId="0" fontId="0" fillId="0" borderId="10" xfId="0" applyFill="1" applyBorder="1" applyAlignment="1">
      <alignment wrapText="1"/>
    </xf>
    <xf numFmtId="0" fontId="0" fillId="0" borderId="0" xfId="0" applyFill="1"/>
    <xf numFmtId="14" fontId="0" fillId="0" borderId="1" xfId="0" applyNumberFormat="1" applyFill="1" applyBorder="1"/>
    <xf numFmtId="0" fontId="0" fillId="0" borderId="1" xfId="0" applyFill="1" applyBorder="1"/>
    <xf numFmtId="49" fontId="0" fillId="0" borderId="1" xfId="0" applyNumberFormat="1" applyFill="1" applyBorder="1" applyAlignment="1">
      <alignment horizontal="center"/>
    </xf>
    <xf numFmtId="6" fontId="0" fillId="0" borderId="1" xfId="0" applyNumberFormat="1" applyFill="1" applyBorder="1"/>
    <xf numFmtId="0" fontId="1" fillId="0" borderId="1" xfId="0" applyFont="1" applyFill="1" applyBorder="1"/>
    <xf numFmtId="0" fontId="0" fillId="0" borderId="1" xfId="0" applyFill="1" applyBorder="1" applyAlignment="1">
      <alignment wrapText="1"/>
    </xf>
    <xf numFmtId="14" fontId="0" fillId="2" borderId="11" xfId="0" applyNumberFormat="1" applyFill="1" applyBorder="1"/>
    <xf numFmtId="14" fontId="0" fillId="2" borderId="1" xfId="0" applyNumberFormat="1" applyFill="1" applyBorder="1"/>
    <xf numFmtId="0" fontId="0" fillId="2" borderId="1" xfId="0" applyFill="1" applyBorder="1"/>
    <xf numFmtId="49" fontId="0" fillId="2" borderId="1" xfId="0" applyNumberFormat="1" applyFill="1" applyBorder="1" applyAlignment="1">
      <alignment horizontal="center"/>
    </xf>
    <xf numFmtId="6" fontId="0" fillId="2" borderId="1" xfId="0" applyNumberFormat="1" applyFill="1" applyBorder="1"/>
    <xf numFmtId="0" fontId="1" fillId="2" borderId="1" xfId="0" applyFont="1" applyFill="1" applyBorder="1"/>
    <xf numFmtId="0" fontId="0" fillId="2" borderId="1" xfId="0" applyFill="1" applyBorder="1" applyAlignment="1">
      <alignment wrapText="1"/>
    </xf>
    <xf numFmtId="0" fontId="0" fillId="2" borderId="12" xfId="0" applyFill="1" applyBorder="1"/>
    <xf numFmtId="14" fontId="0" fillId="0" borderId="10" xfId="0" applyNumberFormat="1" applyBorder="1"/>
    <xf numFmtId="0" fontId="0" fillId="0" borderId="10" xfId="0" applyBorder="1"/>
    <xf numFmtId="49" fontId="0" fillId="0" borderId="10" xfId="0" applyNumberFormat="1" applyBorder="1" applyAlignment="1">
      <alignment horizontal="center"/>
    </xf>
    <xf numFmtId="6" fontId="0" fillId="0" borderId="10" xfId="0" applyNumberFormat="1" applyBorder="1"/>
    <xf numFmtId="0" fontId="1" fillId="0" borderId="10" xfId="0" applyFont="1" applyBorder="1"/>
    <xf numFmtId="0" fontId="0" fillId="0" borderId="10" xfId="0" applyBorder="1" applyAlignment="1">
      <alignment wrapText="1"/>
    </xf>
    <xf numFmtId="14" fontId="0" fillId="0" borderId="3" xfId="0" applyNumberFormat="1" applyFill="1" applyBorder="1"/>
    <xf numFmtId="0" fontId="0" fillId="0" borderId="3" xfId="0" applyFill="1" applyBorder="1"/>
    <xf numFmtId="49" fontId="0" fillId="0" borderId="3" xfId="0" applyNumberFormat="1" applyFill="1" applyBorder="1" applyAlignment="1">
      <alignment horizontal="center"/>
    </xf>
    <xf numFmtId="6" fontId="0" fillId="0" borderId="3" xfId="0" applyNumberFormat="1" applyFill="1" applyBorder="1"/>
    <xf numFmtId="0" fontId="1" fillId="0" borderId="3" xfId="0" applyFont="1" applyFill="1" applyBorder="1"/>
    <xf numFmtId="49" fontId="0" fillId="2" borderId="8" xfId="0" quotePrefix="1" applyNumberFormat="1" applyFill="1" applyBorder="1" applyAlignment="1">
      <alignment horizontal="center"/>
    </xf>
    <xf numFmtId="0" fontId="0" fillId="0" borderId="3" xfId="0" applyFill="1" applyBorder="1" applyAlignment="1">
      <alignment wrapText="1"/>
    </xf>
    <xf numFmtId="14" fontId="0" fillId="2" borderId="11" xfId="0" applyNumberFormat="1" applyFont="1" applyFill="1" applyBorder="1"/>
    <xf numFmtId="14" fontId="0" fillId="2" borderId="1" xfId="0" applyNumberFormat="1" applyFont="1" applyFill="1" applyBorder="1"/>
    <xf numFmtId="0" fontId="0" fillId="2" borderId="1" xfId="0" applyFont="1" applyFill="1" applyBorder="1"/>
    <xf numFmtId="49" fontId="0" fillId="2" borderId="1" xfId="0" applyNumberFormat="1" applyFont="1" applyFill="1" applyBorder="1" applyAlignment="1">
      <alignment horizontal="center"/>
    </xf>
    <xf numFmtId="6" fontId="0" fillId="2" borderId="1" xfId="0" applyNumberFormat="1" applyFont="1" applyFill="1" applyBorder="1"/>
    <xf numFmtId="0" fontId="0" fillId="2" borderId="1" xfId="0" applyFont="1" applyFill="1" applyBorder="1" applyAlignment="1">
      <alignment wrapText="1"/>
    </xf>
    <xf numFmtId="0" fontId="0" fillId="2" borderId="12" xfId="0" applyFont="1" applyFill="1" applyBorder="1"/>
    <xf numFmtId="14" fontId="0" fillId="2" borderId="7" xfId="0" applyNumberFormat="1" applyFont="1" applyFill="1" applyBorder="1"/>
    <xf numFmtId="14" fontId="0" fillId="2" borderId="8" xfId="0" applyNumberFormat="1" applyFont="1" applyFill="1" applyBorder="1"/>
    <xf numFmtId="0" fontId="0" fillId="2" borderId="8" xfId="0" applyFont="1" applyFill="1" applyBorder="1"/>
    <xf numFmtId="49" fontId="0" fillId="2" borderId="8" xfId="0" applyNumberFormat="1" applyFont="1" applyFill="1" applyBorder="1" applyAlignment="1">
      <alignment horizontal="center"/>
    </xf>
    <xf numFmtId="6" fontId="0" fillId="2" borderId="8" xfId="0" applyNumberFormat="1" applyFont="1" applyFill="1" applyBorder="1"/>
    <xf numFmtId="0" fontId="0" fillId="2" borderId="8" xfId="0" applyFont="1" applyFill="1" applyBorder="1" applyAlignment="1">
      <alignment wrapText="1"/>
    </xf>
    <xf numFmtId="0" fontId="0" fillId="2" borderId="9" xfId="0" applyFont="1" applyFill="1" applyBorder="1"/>
    <xf numFmtId="14" fontId="0" fillId="0" borderId="13" xfId="0" applyNumberFormat="1" applyFill="1" applyBorder="1"/>
    <xf numFmtId="14" fontId="0" fillId="0" borderId="2" xfId="0" applyNumberFormat="1" applyFill="1" applyBorder="1"/>
    <xf numFmtId="0" fontId="0" fillId="0" borderId="2" xfId="0" applyFill="1" applyBorder="1"/>
    <xf numFmtId="49" fontId="0" fillId="0" borderId="2" xfId="0" applyNumberFormat="1" applyFill="1" applyBorder="1" applyAlignment="1">
      <alignment horizontal="center"/>
    </xf>
    <xf numFmtId="6" fontId="0" fillId="0" borderId="2" xfId="0" applyNumberFormat="1" applyFill="1" applyBorder="1"/>
    <xf numFmtId="0" fontId="1" fillId="0" borderId="2" xfId="0" applyFont="1" applyFill="1" applyBorder="1"/>
    <xf numFmtId="0" fontId="0" fillId="0" borderId="14" xfId="0" applyFill="1" applyBorder="1"/>
    <xf numFmtId="14" fontId="0" fillId="2" borderId="15" xfId="0" applyNumberFormat="1" applyFill="1" applyBorder="1"/>
    <xf numFmtId="14" fontId="0" fillId="2" borderId="16" xfId="0" applyNumberFormat="1" applyFill="1" applyBorder="1"/>
    <xf numFmtId="0" fontId="0" fillId="2" borderId="16" xfId="0" applyFill="1" applyBorder="1"/>
    <xf numFmtId="49" fontId="0" fillId="2" borderId="16" xfId="0" applyNumberFormat="1" applyFill="1" applyBorder="1" applyAlignment="1">
      <alignment horizontal="center"/>
    </xf>
    <xf numFmtId="6" fontId="0" fillId="2" borderId="16" xfId="0" applyNumberFormat="1" applyFill="1" applyBorder="1"/>
    <xf numFmtId="0" fontId="1" fillId="2" borderId="16" xfId="0" applyFont="1" applyFill="1" applyBorder="1"/>
    <xf numFmtId="0" fontId="0" fillId="2" borderId="16" xfId="0" applyFill="1" applyBorder="1" applyAlignment="1">
      <alignment wrapText="1"/>
    </xf>
    <xf numFmtId="0" fontId="0" fillId="2" borderId="17" xfId="0" applyFill="1" applyBorder="1"/>
    <xf numFmtId="14" fontId="0" fillId="2" borderId="18" xfId="0" applyNumberFormat="1" applyFill="1" applyBorder="1"/>
    <xf numFmtId="14" fontId="0" fillId="2" borderId="3" xfId="0" applyNumberFormat="1" applyFill="1" applyBorder="1"/>
    <xf numFmtId="0" fontId="0" fillId="2" borderId="3" xfId="0" applyFill="1" applyBorder="1"/>
    <xf numFmtId="49" fontId="0" fillId="2" borderId="3" xfId="0" applyNumberFormat="1" applyFill="1" applyBorder="1" applyAlignment="1">
      <alignment horizontal="center"/>
    </xf>
    <xf numFmtId="6" fontId="0" fillId="2" borderId="3" xfId="0" applyNumberFormat="1" applyFill="1" applyBorder="1"/>
    <xf numFmtId="0" fontId="1" fillId="2" borderId="3" xfId="0" applyFont="1" applyFill="1" applyBorder="1"/>
    <xf numFmtId="0" fontId="0" fillId="2" borderId="3" xfId="0" applyFill="1" applyBorder="1" applyAlignment="1">
      <alignment wrapText="1"/>
    </xf>
    <xf numFmtId="0" fontId="0" fillId="2" borderId="19" xfId="0" applyFill="1" applyBorder="1"/>
    <xf numFmtId="0" fontId="1" fillId="2" borderId="5" xfId="0" applyFont="1" applyFill="1" applyBorder="1" applyAlignment="1">
      <alignment horizontal="left"/>
    </xf>
    <xf numFmtId="0" fontId="1" fillId="2" borderId="1" xfId="0" applyFont="1" applyFill="1" applyBorder="1" applyAlignment="1">
      <alignment horizontal="left"/>
    </xf>
    <xf numFmtId="0" fontId="1" fillId="2" borderId="8" xfId="0" applyFont="1" applyFill="1" applyBorder="1" applyAlignment="1">
      <alignment horizontal="left"/>
    </xf>
    <xf numFmtId="0" fontId="1" fillId="0" borderId="10" xfId="0" applyFont="1" applyFill="1" applyBorder="1" applyAlignment="1">
      <alignment horizontal="left"/>
    </xf>
    <xf numFmtId="0" fontId="1" fillId="0" borderId="1" xfId="0" applyFont="1" applyFill="1" applyBorder="1" applyAlignment="1">
      <alignment horizontal="left"/>
    </xf>
    <xf numFmtId="0" fontId="6" fillId="0" borderId="0" xfId="0" applyFont="1" applyAlignment="1">
      <alignment horizontal="center"/>
    </xf>
    <xf numFmtId="6" fontId="0" fillId="0" borderId="0" xfId="0" applyNumberFormat="1"/>
    <xf numFmtId="0" fontId="0" fillId="0" borderId="0" xfId="0" applyAlignment="1">
      <alignment horizontal="center"/>
    </xf>
    <xf numFmtId="0" fontId="1" fillId="0" borderId="0" xfId="0" applyFont="1"/>
    <xf numFmtId="14" fontId="0" fillId="0" borderId="4" xfId="0" applyNumberFormat="1" applyBorder="1"/>
    <xf numFmtId="14" fontId="0" fillId="2" borderId="10" xfId="0" applyNumberFormat="1" applyFill="1" applyBorder="1"/>
    <xf numFmtId="14" fontId="0" fillId="2" borderId="2" xfId="0" applyNumberFormat="1" applyFill="1" applyBorder="1"/>
    <xf numFmtId="14" fontId="0" fillId="0" borderId="4" xfId="0" applyNumberFormat="1" applyFill="1" applyBorder="1"/>
    <xf numFmtId="14" fontId="0" fillId="2" borderId="10" xfId="0" applyNumberFormat="1" applyFont="1" applyFill="1" applyBorder="1"/>
    <xf numFmtId="14" fontId="0" fillId="0" borderId="5" xfId="0" applyNumberFormat="1" applyBorder="1"/>
    <xf numFmtId="14" fontId="0" fillId="0" borderId="5" xfId="0" applyNumberFormat="1" applyFill="1" applyBorder="1"/>
    <xf numFmtId="0" fontId="0" fillId="0" borderId="5" xfId="0" applyBorder="1"/>
    <xf numFmtId="0" fontId="0" fillId="2" borderId="10" xfId="0" applyFill="1" applyBorder="1"/>
    <xf numFmtId="0" fontId="0" fillId="2" borderId="2" xfId="0" applyFill="1" applyBorder="1"/>
    <xf numFmtId="0" fontId="0" fillId="0" borderId="5" xfId="0" applyFill="1" applyBorder="1"/>
    <xf numFmtId="0" fontId="0" fillId="2" borderId="10" xfId="0" applyFont="1" applyFill="1" applyBorder="1"/>
    <xf numFmtId="49" fontId="0" fillId="0" borderId="5" xfId="0" applyNumberFormat="1" applyBorder="1" applyAlignment="1">
      <alignment horizontal="center"/>
    </xf>
    <xf numFmtId="49" fontId="0" fillId="2" borderId="10" xfId="0" applyNumberFormat="1" applyFill="1" applyBorder="1" applyAlignment="1">
      <alignment horizontal="center"/>
    </xf>
    <xf numFmtId="49" fontId="0" fillId="0" borderId="1" xfId="0" quotePrefix="1" applyNumberFormat="1" applyFill="1" applyBorder="1" applyAlignment="1">
      <alignment horizontal="center"/>
    </xf>
    <xf numFmtId="49" fontId="0" fillId="2" borderId="2" xfId="0" applyNumberFormat="1" applyFill="1" applyBorder="1" applyAlignment="1">
      <alignment horizontal="center"/>
    </xf>
    <xf numFmtId="49" fontId="0" fillId="0" borderId="5" xfId="0" applyNumberFormat="1" applyFill="1" applyBorder="1" applyAlignment="1">
      <alignment horizontal="center"/>
    </xf>
    <xf numFmtId="49" fontId="0" fillId="2" borderId="10" xfId="0" applyNumberFormat="1" applyFont="1" applyFill="1" applyBorder="1" applyAlignment="1">
      <alignment horizontal="center"/>
    </xf>
    <xf numFmtId="49" fontId="0" fillId="2" borderId="10" xfId="0" quotePrefix="1" applyNumberFormat="1" applyFill="1" applyBorder="1" applyAlignment="1">
      <alignment horizontal="center"/>
    </xf>
    <xf numFmtId="6" fontId="0" fillId="0" borderId="5" xfId="0" applyNumberFormat="1" applyBorder="1"/>
    <xf numFmtId="6" fontId="0" fillId="2" borderId="10" xfId="0" applyNumberFormat="1" applyFill="1" applyBorder="1"/>
    <xf numFmtId="6" fontId="0" fillId="2" borderId="2" xfId="0" applyNumberFormat="1" applyFill="1" applyBorder="1"/>
    <xf numFmtId="6" fontId="0" fillId="0" borderId="5" xfId="0" applyNumberFormat="1" applyFill="1" applyBorder="1"/>
    <xf numFmtId="6" fontId="0" fillId="2" borderId="10" xfId="0" applyNumberFormat="1" applyFont="1" applyFill="1" applyBorder="1"/>
    <xf numFmtId="0" fontId="1" fillId="0" borderId="5" xfId="0" applyFont="1" applyBorder="1"/>
    <xf numFmtId="0" fontId="1" fillId="2" borderId="10" xfId="0" applyFont="1" applyFill="1" applyBorder="1"/>
    <xf numFmtId="0" fontId="1" fillId="0" borderId="5" xfId="0" applyFont="1" applyBorder="1" applyAlignment="1">
      <alignment horizontal="left"/>
    </xf>
    <xf numFmtId="0" fontId="1" fillId="2" borderId="2" xfId="0" applyFont="1" applyFill="1" applyBorder="1"/>
    <xf numFmtId="0" fontId="1" fillId="0" borderId="5" xfId="0" applyFont="1" applyFill="1" applyBorder="1"/>
    <xf numFmtId="0" fontId="0" fillId="0" borderId="5" xfId="0" applyBorder="1" applyAlignment="1">
      <alignment wrapText="1"/>
    </xf>
    <xf numFmtId="0" fontId="0" fillId="2" borderId="10" xfId="0" applyFill="1" applyBorder="1" applyAlignment="1">
      <alignment wrapText="1"/>
    </xf>
    <xf numFmtId="0" fontId="0" fillId="2" borderId="2" xfId="0" applyFill="1" applyBorder="1" applyAlignment="1">
      <alignment wrapText="1"/>
    </xf>
    <xf numFmtId="0" fontId="0" fillId="0" borderId="5" xfId="0" applyFill="1" applyBorder="1" applyAlignment="1">
      <alignment wrapText="1"/>
    </xf>
    <xf numFmtId="0" fontId="0" fillId="2" borderId="10" xfId="0" applyFont="1" applyFill="1" applyBorder="1" applyAlignment="1">
      <alignment wrapText="1"/>
    </xf>
    <xf numFmtId="0" fontId="0" fillId="0" borderId="6" xfId="0" applyBorder="1"/>
    <xf numFmtId="0" fontId="0" fillId="0" borderId="6" xfId="0" applyFill="1" applyBorder="1"/>
    <xf numFmtId="0" fontId="0" fillId="0" borderId="0" xfId="0" applyAlignment="1">
      <alignment horizontal="left" wrapText="1"/>
    </xf>
    <xf numFmtId="0" fontId="0"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center" wrapText="1"/>
    </xf>
    <xf numFmtId="164" fontId="1" fillId="0" borderId="0" xfId="0" applyNumberFormat="1" applyFont="1" applyAlignment="1">
      <alignment horizontal="center" wrapText="1"/>
    </xf>
    <xf numFmtId="0" fontId="0" fillId="0" borderId="0" xfId="0" applyAlignment="1">
      <alignment horizontal="left"/>
    </xf>
    <xf numFmtId="0" fontId="0" fillId="0" borderId="0" xfId="0" applyNumberFormat="1" applyAlignment="1">
      <alignment horizontal="left"/>
    </xf>
    <xf numFmtId="14" fontId="0" fillId="0" borderId="0" xfId="0" applyNumberFormat="1"/>
    <xf numFmtId="14" fontId="0" fillId="0" borderId="0" xfId="0" applyNumberFormat="1" applyAlignment="1">
      <alignment horizontal="center" wrapText="1"/>
    </xf>
    <xf numFmtId="0" fontId="0" fillId="0" borderId="0" xfId="0" applyAlignment="1">
      <alignment horizontal="center" wrapText="1"/>
    </xf>
    <xf numFmtId="164" fontId="8" fillId="0" borderId="0" xfId="3" applyNumberFormat="1" applyAlignment="1">
      <alignment wrapText="1"/>
    </xf>
    <xf numFmtId="14" fontId="0" fillId="0" borderId="0" xfId="0" applyNumberFormat="1" applyAlignment="1">
      <alignment horizontal="left"/>
    </xf>
    <xf numFmtId="164" fontId="0" fillId="0" borderId="0" xfId="0" applyNumberFormat="1" applyFill="1"/>
    <xf numFmtId="49" fontId="0" fillId="0" borderId="0" xfId="0" applyNumberFormat="1" applyAlignment="1">
      <alignment horizontal="center"/>
    </xf>
    <xf numFmtId="14" fontId="0" fillId="0" borderId="0" xfId="0" applyNumberFormat="1" applyFill="1"/>
    <xf numFmtId="0" fontId="0" fillId="0" borderId="0" xfId="0" applyFill="1" applyBorder="1"/>
    <xf numFmtId="49" fontId="0" fillId="0" borderId="0" xfId="0" applyNumberFormat="1" applyFill="1" applyAlignment="1"/>
    <xf numFmtId="0" fontId="0" fillId="0" borderId="0" xfId="0" applyFill="1" applyAlignment="1">
      <alignment horizontal="left"/>
    </xf>
    <xf numFmtId="49" fontId="0" fillId="0" borderId="0" xfId="0" applyNumberFormat="1" applyFill="1" applyAlignment="1">
      <alignment horizontal="center"/>
    </xf>
    <xf numFmtId="0" fontId="0" fillId="3" borderId="0" xfId="0" applyFill="1"/>
    <xf numFmtId="49" fontId="0" fillId="0" borderId="0" xfId="0" quotePrefix="1" applyNumberFormat="1" applyFill="1" applyAlignment="1">
      <alignment horizontal="center"/>
    </xf>
    <xf numFmtId="0" fontId="0" fillId="0" borderId="0" xfId="0" applyFont="1" applyFill="1"/>
    <xf numFmtId="0" fontId="0" fillId="0" borderId="0" xfId="0" applyFont="1" applyFill="1" applyAlignment="1">
      <alignment wrapText="1"/>
    </xf>
    <xf numFmtId="0" fontId="0" fillId="0" borderId="0" xfId="0" applyFill="1" applyAlignment="1">
      <alignment horizontal="left" wrapText="1"/>
    </xf>
    <xf numFmtId="0" fontId="0" fillId="0" borderId="0" xfId="0" applyFont="1" applyFill="1" applyAlignment="1">
      <alignment horizontal="left"/>
    </xf>
    <xf numFmtId="49" fontId="0" fillId="0" borderId="0" xfId="0" applyNumberFormat="1" applyFont="1" applyFill="1" applyAlignment="1">
      <alignment horizontal="center"/>
    </xf>
    <xf numFmtId="164" fontId="0" fillId="0" borderId="0" xfId="0" applyNumberFormat="1" applyFont="1" applyFill="1"/>
    <xf numFmtId="14" fontId="0" fillId="0" borderId="0" xfId="0" applyNumberFormat="1" applyFont="1" applyFill="1"/>
    <xf numFmtId="0" fontId="0" fillId="0" borderId="0" xfId="0" applyFill="1" applyAlignment="1"/>
    <xf numFmtId="49" fontId="0" fillId="0" borderId="0" xfId="0" quotePrefix="1" applyNumberFormat="1" applyAlignment="1">
      <alignment horizontal="center"/>
    </xf>
    <xf numFmtId="49" fontId="0" fillId="0" borderId="0" xfId="0" applyNumberFormat="1" applyFill="1" applyAlignment="1">
      <alignment wrapText="1"/>
    </xf>
    <xf numFmtId="0" fontId="0" fillId="4" borderId="0" xfId="0" applyFill="1" applyAlignment="1">
      <alignment horizontal="left"/>
    </xf>
    <xf numFmtId="14" fontId="0" fillId="0" borderId="0" xfId="0" applyNumberFormat="1" applyFont="1" applyBorder="1" applyAlignment="1">
      <alignment wrapText="1"/>
    </xf>
    <xf numFmtId="49" fontId="0" fillId="0" borderId="0" xfId="0" applyNumberFormat="1" applyFont="1" applyBorder="1" applyAlignment="1">
      <alignment horizontal="center" wrapText="1"/>
    </xf>
    <xf numFmtId="164" fontId="1" fillId="0" borderId="1" xfId="0" applyNumberFormat="1" applyFont="1" applyBorder="1" applyAlignment="1">
      <alignment wrapText="1"/>
    </xf>
    <xf numFmtId="49" fontId="1" fillId="0" borderId="1" xfId="0" applyNumberFormat="1" applyFont="1" applyBorder="1" applyAlignment="1">
      <alignment horizontal="center" wrapText="1"/>
    </xf>
    <xf numFmtId="164" fontId="1" fillId="0" borderId="1" xfId="0" applyNumberFormat="1" applyFont="1" applyBorder="1" applyAlignment="1">
      <alignment horizontal="center" wrapText="1"/>
    </xf>
    <xf numFmtId="166" fontId="1" fillId="0" borderId="0" xfId="1" applyNumberFormat="1" applyFont="1" applyBorder="1" applyAlignment="1">
      <alignment horizontal="center" wrapText="1"/>
    </xf>
    <xf numFmtId="166" fontId="0" fillId="0" borderId="0" xfId="1" applyNumberFormat="1" applyFont="1"/>
    <xf numFmtId="14" fontId="1" fillId="0" borderId="0" xfId="0" applyNumberFormat="1" applyFont="1" applyFill="1" applyBorder="1" applyAlignment="1">
      <alignment wrapText="1"/>
    </xf>
    <xf numFmtId="166" fontId="0" fillId="0" borderId="0" xfId="1" applyNumberFormat="1" applyFont="1" applyFill="1"/>
    <xf numFmtId="164" fontId="0" fillId="0" borderId="0" xfId="0" applyNumberFormat="1" applyFill="1" applyAlignment="1"/>
    <xf numFmtId="164" fontId="0" fillId="0" borderId="0" xfId="1" applyNumberFormat="1" applyFont="1" applyFill="1"/>
    <xf numFmtId="14" fontId="0" fillId="0" borderId="0" xfId="0" applyNumberFormat="1" applyFill="1" applyAlignment="1" applyProtection="1"/>
    <xf numFmtId="49" fontId="0" fillId="0" borderId="0" xfId="0" quotePrefix="1" applyNumberFormat="1" applyFill="1" applyAlignment="1"/>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38" fontId="1" fillId="0" borderId="1" xfId="0" applyNumberFormat="1" applyFont="1" applyFill="1" applyBorder="1" applyAlignment="1">
      <alignment horizontal="center" wrapText="1"/>
    </xf>
    <xf numFmtId="49" fontId="1" fillId="0" borderId="1" xfId="0" applyNumberFormat="1" applyFont="1" applyFill="1" applyBorder="1" applyAlignment="1">
      <alignment wrapText="1"/>
    </xf>
    <xf numFmtId="0" fontId="1" fillId="0" borderId="0" xfId="0" applyFont="1" applyFill="1" applyAlignment="1">
      <alignment wrapText="1"/>
    </xf>
    <xf numFmtId="0" fontId="5" fillId="0" borderId="0" xfId="0" applyFont="1" applyFill="1" applyBorder="1" applyAlignment="1"/>
    <xf numFmtId="166" fontId="5" fillId="0" borderId="0" xfId="1" applyNumberFormat="1" applyFont="1" applyFill="1" applyBorder="1" applyAlignment="1"/>
    <xf numFmtId="0" fontId="0" fillId="0" borderId="0" xfId="0" applyNumberFormat="1" applyFont="1" applyAlignment="1"/>
    <xf numFmtId="0" fontId="0" fillId="0" borderId="0" xfId="0" applyFont="1" applyAlignment="1"/>
    <xf numFmtId="0" fontId="0" fillId="0" borderId="0" xfId="0" applyFont="1" applyFill="1" applyAlignment="1"/>
    <xf numFmtId="166" fontId="0" fillId="0" borderId="0" xfId="1" applyNumberFormat="1" applyFont="1" applyAlignment="1"/>
    <xf numFmtId="0" fontId="3" fillId="0" borderId="0" xfId="0" applyFont="1" applyAlignment="1"/>
    <xf numFmtId="0" fontId="0" fillId="0" borderId="0" xfId="0" applyFont="1" applyFill="1" applyBorder="1" applyAlignment="1"/>
    <xf numFmtId="0" fontId="0" fillId="0" borderId="0" xfId="0" applyFont="1" applyBorder="1" applyAlignment="1"/>
    <xf numFmtId="0" fontId="4" fillId="0" borderId="0" xfId="0" applyFont="1" applyFill="1" applyBorder="1" applyAlignment="1" applyProtection="1"/>
    <xf numFmtId="49" fontId="0" fillId="0" borderId="0" xfId="0" applyNumberFormat="1" applyFont="1" applyAlignment="1"/>
    <xf numFmtId="166" fontId="3" fillId="0" borderId="0" xfId="1" applyNumberFormat="1" applyFont="1" applyFill="1" applyAlignment="1"/>
    <xf numFmtId="166" fontId="3" fillId="0" borderId="0" xfId="1" applyNumberFormat="1" applyFont="1" applyAlignment="1"/>
    <xf numFmtId="166" fontId="0" fillId="0" borderId="0" xfId="1" applyNumberFormat="1" applyFont="1" applyBorder="1" applyAlignment="1"/>
    <xf numFmtId="166" fontId="0" fillId="0" borderId="0" xfId="1" applyNumberFormat="1" applyFont="1" applyFill="1" applyAlignment="1"/>
  </cellXfs>
  <cellStyles count="4">
    <cellStyle name="Currency" xfId="1" builtinId="4"/>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TIP\DOCS\obligation%20reports\FY%202016\Transit\Metra\JE_5005-2016-4_TIPLookupReport.pdf" TargetMode="External"/><Relationship Id="rId13" Type="http://schemas.openxmlformats.org/officeDocument/2006/relationships/hyperlink" Target="..\..\TIP\DOCS\obligation%20reports\FY%202016\Transit\Metra\JE_5005-2016-4_TIPLookupReport.pdf" TargetMode="External"/><Relationship Id="rId3" Type="http://schemas.openxmlformats.org/officeDocument/2006/relationships/hyperlink" Target="..\..\TIP\DOCS\obligation%20reports\FY%202016\Transit\Metra\JE_5005-2016-4_TIPLookupReport.pdf" TargetMode="External"/><Relationship Id="rId7" Type="http://schemas.openxmlformats.org/officeDocument/2006/relationships/hyperlink" Target="..\..\TIP\DOCS\obligation%20reports\FY%202016\Transit\Metra\JE_5005-2016-4_TIPLookupReport.pdf" TargetMode="External"/><Relationship Id="rId12" Type="http://schemas.openxmlformats.org/officeDocument/2006/relationships/hyperlink" Target="..\..\TIP\DOCS\obligation%20reports\FY%202016\Transit\Metra\JE_5005-2016-4_TIPLookupReport.pdf" TargetMode="External"/><Relationship Id="rId17" Type="http://schemas.openxmlformats.org/officeDocument/2006/relationships/printerSettings" Target="../printerSettings/printerSettings3.bin"/><Relationship Id="rId2" Type="http://schemas.openxmlformats.org/officeDocument/2006/relationships/hyperlink" Target="..\..\TIP\DOCS\obligation%20reports\FY%202016\Transit\Metra\JG_5005-2016-5_TIPLookupReport.pdf" TargetMode="External"/><Relationship Id="rId16" Type="http://schemas.openxmlformats.org/officeDocument/2006/relationships/hyperlink" Target="..\..\TIP\DOCS\obligation%20reports\FY%202016\Transit\Metra\JE_5005-2016-4_TIPLookupReport.pdf" TargetMode="External"/><Relationship Id="rId1" Type="http://schemas.openxmlformats.org/officeDocument/2006/relationships/hyperlink" Target="..\..\TIP\DOCS\obligation%20reports\FY%202016\Transit\Metra\JG_5005-2016-5_TIPLookupReport.pdf" TargetMode="External"/><Relationship Id="rId6" Type="http://schemas.openxmlformats.org/officeDocument/2006/relationships/hyperlink" Target="..\..\TIP\DOCS\obligation%20reports\FY%202016\Transit\Metra\JE_5005-2016-4_TIPLookupReport.pdf" TargetMode="External"/><Relationship Id="rId11" Type="http://schemas.openxmlformats.org/officeDocument/2006/relationships/hyperlink" Target="..\..\TIP\DOCS\obligation%20reports\FY%202016\Transit\Metra\JE_5005-2016-4_TIPLookupReport.pdf" TargetMode="External"/><Relationship Id="rId5" Type="http://schemas.openxmlformats.org/officeDocument/2006/relationships/hyperlink" Target="..\..\TIP\DOCS\obligation%20reports\FY%202016\Transit\Metra\JE_5005-2016-4_TIPLookupReport.pdf" TargetMode="External"/><Relationship Id="rId15" Type="http://schemas.openxmlformats.org/officeDocument/2006/relationships/hyperlink" Target="..\..\TIP\DOCS\obligation%20reports\FY%202016\Transit\Metra\JE_5005-2016-4_TIPLookupReport.pdf" TargetMode="External"/><Relationship Id="rId10" Type="http://schemas.openxmlformats.org/officeDocument/2006/relationships/hyperlink" Target="..\..\TIP\DOCS\obligation%20reports\FY%202016\Transit\Metra\JE_5005-2016-4_TIPLookupReport.pdf" TargetMode="External"/><Relationship Id="rId4" Type="http://schemas.openxmlformats.org/officeDocument/2006/relationships/hyperlink" Target="..\..\TIP\DOCS\obligation%20reports\FY%202016\Transit\Metra\JE_5005-2016-4_TIPLookupReport.pdf" TargetMode="External"/><Relationship Id="rId9" Type="http://schemas.openxmlformats.org/officeDocument/2006/relationships/hyperlink" Target="..\..\TIP\DOCS\obligation%20reports\FY%202016\Transit\Metra\JE_5005-2016-4_TIPLookupReport.pdf" TargetMode="External"/><Relationship Id="rId14" Type="http://schemas.openxmlformats.org/officeDocument/2006/relationships/hyperlink" Target="..\..\TIP\DOCS\obligation%20reports\FY%202016\Transit\Metra\JE_5005-2016-4_TIPLookupRepor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2"/>
  <sheetViews>
    <sheetView zoomScale="90" zoomScaleNormal="90" workbookViewId="0">
      <pane ySplit="1" topLeftCell="A2" activePane="bottomLeft" state="frozen"/>
      <selection pane="bottomLeft"/>
    </sheetView>
  </sheetViews>
  <sheetFormatPr defaultRowHeight="15" x14ac:dyDescent="0.25"/>
  <cols>
    <col min="1" max="2" width="11.5703125" bestFit="1" customWidth="1"/>
    <col min="3" max="3" width="14.42578125" customWidth="1"/>
    <col min="4" max="4" width="10.42578125" style="133" customWidth="1"/>
    <col min="5" max="5" width="11.7109375" customWidth="1"/>
    <col min="6" max="6" width="14" style="132" customWidth="1"/>
    <col min="7" max="7" width="20.140625" style="132" customWidth="1"/>
    <col min="8" max="8" width="13.7109375" style="132" customWidth="1"/>
    <col min="9" max="9" width="13.28515625" style="132" bestFit="1" customWidth="1"/>
    <col min="10" max="10" width="13.140625" style="132" bestFit="1" customWidth="1"/>
    <col min="11" max="11" width="14.85546875" style="132" bestFit="1" customWidth="1"/>
    <col min="12" max="12" width="11.28515625" style="134" bestFit="1" customWidth="1"/>
    <col min="14" max="14" width="12" bestFit="1" customWidth="1"/>
    <col min="15" max="15" width="22.42578125" style="4" bestFit="1" customWidth="1"/>
    <col min="16" max="16" width="35.140625" style="4" bestFit="1" customWidth="1"/>
    <col min="17" max="17" width="25" bestFit="1" customWidth="1"/>
    <col min="18" max="18" width="12.42578125" bestFit="1" customWidth="1"/>
    <col min="19" max="19" width="12.42578125" customWidth="1"/>
  </cols>
  <sheetData>
    <row r="1" spans="1:19" ht="60" x14ac:dyDescent="0.25">
      <c r="A1" s="23" t="s">
        <v>1756</v>
      </c>
      <c r="B1" s="23" t="s">
        <v>1757</v>
      </c>
      <c r="C1" s="23" t="s">
        <v>1758</v>
      </c>
      <c r="D1" s="17" t="s">
        <v>1759</v>
      </c>
      <c r="E1" s="18" t="s">
        <v>1760</v>
      </c>
      <c r="F1" s="24" t="s">
        <v>1761</v>
      </c>
      <c r="G1" s="24" t="s">
        <v>1762</v>
      </c>
      <c r="H1" s="24" t="s">
        <v>1763</v>
      </c>
      <c r="I1" s="24" t="s">
        <v>1764</v>
      </c>
      <c r="J1" s="24" t="s">
        <v>1765</v>
      </c>
      <c r="K1" s="25" t="s">
        <v>1766</v>
      </c>
      <c r="L1" s="17" t="s">
        <v>0</v>
      </c>
      <c r="M1" s="18" t="s">
        <v>6</v>
      </c>
      <c r="N1" s="17" t="s">
        <v>1767</v>
      </c>
      <c r="O1" s="18" t="s">
        <v>1768</v>
      </c>
      <c r="P1" s="18" t="s">
        <v>4</v>
      </c>
      <c r="Q1" s="18" t="s">
        <v>17</v>
      </c>
      <c r="R1" s="18" t="s">
        <v>1769</v>
      </c>
      <c r="S1" s="26" t="s">
        <v>1770</v>
      </c>
    </row>
    <row r="2" spans="1:19" ht="30" x14ac:dyDescent="0.25">
      <c r="A2" s="27">
        <v>39765</v>
      </c>
      <c r="B2" s="27">
        <v>42361</v>
      </c>
      <c r="C2" s="28" t="s">
        <v>1754</v>
      </c>
      <c r="D2" s="29" t="s">
        <v>1771</v>
      </c>
      <c r="E2" s="28" t="s">
        <v>890</v>
      </c>
      <c r="F2" s="30">
        <v>174427.32</v>
      </c>
      <c r="G2" s="30">
        <v>218034.15</v>
      </c>
      <c r="H2" s="30">
        <v>0</v>
      </c>
      <c r="I2" s="30">
        <v>0</v>
      </c>
      <c r="J2" s="30">
        <v>-173</v>
      </c>
      <c r="K2" s="30">
        <v>0</v>
      </c>
      <c r="L2" s="31" t="s">
        <v>1772</v>
      </c>
      <c r="M2" s="28" t="s">
        <v>117</v>
      </c>
      <c r="N2" s="28" t="s">
        <v>1773</v>
      </c>
      <c r="O2" s="32" t="s">
        <v>1774</v>
      </c>
      <c r="P2" s="32"/>
      <c r="Q2" s="28"/>
      <c r="R2" s="27">
        <v>42373</v>
      </c>
      <c r="S2" s="28" t="s">
        <v>1775</v>
      </c>
    </row>
    <row r="3" spans="1:19" x14ac:dyDescent="0.25">
      <c r="A3" s="27">
        <v>37789</v>
      </c>
      <c r="B3" s="27">
        <v>42317</v>
      </c>
      <c r="C3" s="28" t="s">
        <v>1754</v>
      </c>
      <c r="D3" s="29" t="s">
        <v>1776</v>
      </c>
      <c r="E3" s="28" t="s">
        <v>1777</v>
      </c>
      <c r="F3" s="30">
        <v>159104.35999999999</v>
      </c>
      <c r="G3" s="30">
        <v>198880.49</v>
      </c>
      <c r="H3" s="30">
        <v>0</v>
      </c>
      <c r="I3" s="30">
        <v>0</v>
      </c>
      <c r="J3" s="30">
        <v>0</v>
      </c>
      <c r="K3" s="30">
        <v>0</v>
      </c>
      <c r="L3" s="31" t="s">
        <v>1778</v>
      </c>
      <c r="M3" s="28" t="s">
        <v>212</v>
      </c>
      <c r="N3" s="28" t="s">
        <v>1779</v>
      </c>
      <c r="O3" s="32" t="s">
        <v>1780</v>
      </c>
      <c r="P3" s="32" t="s">
        <v>239</v>
      </c>
      <c r="Q3" s="28"/>
      <c r="R3" s="27">
        <v>42326</v>
      </c>
      <c r="S3" s="28" t="s">
        <v>1775</v>
      </c>
    </row>
    <row r="4" spans="1:19" ht="30" x14ac:dyDescent="0.25">
      <c r="A4" s="27">
        <v>41541</v>
      </c>
      <c r="B4" s="27">
        <v>42628</v>
      </c>
      <c r="C4" s="28" t="s">
        <v>1781</v>
      </c>
      <c r="D4" s="29" t="s">
        <v>1782</v>
      </c>
      <c r="E4" s="32" t="s">
        <v>1783</v>
      </c>
      <c r="F4" s="30">
        <f>4000000+700000</f>
        <v>4700000</v>
      </c>
      <c r="G4" s="30">
        <f>875000+5000000</f>
        <v>5875000</v>
      </c>
      <c r="H4" s="30">
        <v>2561000</v>
      </c>
      <c r="I4" s="30">
        <v>3201250</v>
      </c>
      <c r="J4" s="30">
        <v>4000000</v>
      </c>
      <c r="K4" s="30">
        <v>-4000000</v>
      </c>
      <c r="L4" s="31" t="s">
        <v>268</v>
      </c>
      <c r="M4" s="28" t="s">
        <v>1191</v>
      </c>
      <c r="N4" s="28" t="s">
        <v>1784</v>
      </c>
      <c r="O4" s="32" t="s">
        <v>1785</v>
      </c>
      <c r="P4" s="32" t="s">
        <v>1786</v>
      </c>
      <c r="Q4" s="28"/>
      <c r="R4" s="27">
        <v>42657</v>
      </c>
      <c r="S4" s="28" t="s">
        <v>1775</v>
      </c>
    </row>
    <row r="5" spans="1:19" ht="30" x14ac:dyDescent="0.25">
      <c r="A5" s="27">
        <v>42544</v>
      </c>
      <c r="B5" s="27">
        <v>42544</v>
      </c>
      <c r="C5" s="28" t="s">
        <v>653</v>
      </c>
      <c r="D5" s="29" t="s">
        <v>1787</v>
      </c>
      <c r="E5" s="28" t="s">
        <v>889</v>
      </c>
      <c r="F5" s="30">
        <v>0</v>
      </c>
      <c r="G5" s="30">
        <v>0</v>
      </c>
      <c r="H5" s="30">
        <v>1322000</v>
      </c>
      <c r="I5" s="30">
        <v>1652500</v>
      </c>
      <c r="J5" s="30">
        <v>0</v>
      </c>
      <c r="K5" s="30">
        <v>1322000</v>
      </c>
      <c r="L5" s="31" t="s">
        <v>1788</v>
      </c>
      <c r="M5" s="28" t="s">
        <v>1191</v>
      </c>
      <c r="N5" s="28" t="s">
        <v>1789</v>
      </c>
      <c r="O5" s="32" t="s">
        <v>1790</v>
      </c>
      <c r="P5" s="32" t="s">
        <v>239</v>
      </c>
      <c r="Q5" s="28"/>
      <c r="R5" s="27">
        <v>42562</v>
      </c>
      <c r="S5" s="28" t="s">
        <v>1775</v>
      </c>
    </row>
    <row r="6" spans="1:19" ht="15.75" thickBot="1" x14ac:dyDescent="0.3">
      <c r="A6" s="33">
        <v>41816</v>
      </c>
      <c r="B6" s="33">
        <v>42599</v>
      </c>
      <c r="C6" s="34" t="s">
        <v>1781</v>
      </c>
      <c r="D6" s="35" t="s">
        <v>1791</v>
      </c>
      <c r="E6" s="34" t="s">
        <v>889</v>
      </c>
      <c r="F6" s="36">
        <v>1145000</v>
      </c>
      <c r="G6" s="36">
        <v>1431250</v>
      </c>
      <c r="H6" s="36">
        <v>0</v>
      </c>
      <c r="I6" s="36">
        <v>0</v>
      </c>
      <c r="J6" s="36">
        <v>1145000</v>
      </c>
      <c r="K6" s="36">
        <v>-1145000</v>
      </c>
      <c r="L6" s="37" t="s">
        <v>301</v>
      </c>
      <c r="M6" s="34" t="s">
        <v>212</v>
      </c>
      <c r="N6" s="34" t="s">
        <v>1792</v>
      </c>
      <c r="O6" s="38" t="s">
        <v>1793</v>
      </c>
      <c r="P6" s="38" t="s">
        <v>1794</v>
      </c>
      <c r="Q6" s="34"/>
      <c r="R6" s="33">
        <v>42654</v>
      </c>
      <c r="S6" s="34" t="s">
        <v>1775</v>
      </c>
    </row>
    <row r="7" spans="1:19" x14ac:dyDescent="0.25">
      <c r="A7" s="39">
        <v>42030</v>
      </c>
      <c r="B7" s="40">
        <v>42394</v>
      </c>
      <c r="C7" s="41" t="s">
        <v>1755</v>
      </c>
      <c r="D7" s="42" t="s">
        <v>1795</v>
      </c>
      <c r="E7" s="41" t="s">
        <v>884</v>
      </c>
      <c r="F7" s="43">
        <v>0</v>
      </c>
      <c r="G7" s="43">
        <v>0</v>
      </c>
      <c r="H7" s="43">
        <v>4713752</v>
      </c>
      <c r="I7" s="43">
        <v>5892190</v>
      </c>
      <c r="J7" s="43">
        <v>0</v>
      </c>
      <c r="K7" s="43">
        <v>-1078248</v>
      </c>
      <c r="L7" s="44" t="s">
        <v>1796</v>
      </c>
      <c r="M7" s="41" t="s">
        <v>1191</v>
      </c>
      <c r="N7" s="41" t="s">
        <v>1797</v>
      </c>
      <c r="O7" s="45" t="s">
        <v>1798</v>
      </c>
      <c r="P7" s="45" t="s">
        <v>1799</v>
      </c>
      <c r="Q7" s="41"/>
      <c r="R7" s="40">
        <v>42331</v>
      </c>
      <c r="S7" s="46" t="s">
        <v>1775</v>
      </c>
    </row>
    <row r="8" spans="1:19" ht="15.75" thickBot="1" x14ac:dyDescent="0.3">
      <c r="A8" s="47">
        <v>42030</v>
      </c>
      <c r="B8" s="48">
        <v>42394</v>
      </c>
      <c r="C8" s="49" t="s">
        <v>1781</v>
      </c>
      <c r="D8" s="50" t="s">
        <v>1795</v>
      </c>
      <c r="E8" s="49" t="s">
        <v>889</v>
      </c>
      <c r="F8" s="51">
        <v>4713752</v>
      </c>
      <c r="G8" s="51">
        <v>5892190</v>
      </c>
      <c r="H8" s="51">
        <v>0</v>
      </c>
      <c r="I8" s="51">
        <v>0</v>
      </c>
      <c r="J8" s="51">
        <v>4713752</v>
      </c>
      <c r="K8" s="51">
        <v>-4713752</v>
      </c>
      <c r="L8" s="52" t="s">
        <v>1796</v>
      </c>
      <c r="M8" s="49" t="s">
        <v>1191</v>
      </c>
      <c r="N8" s="49" t="s">
        <v>1797</v>
      </c>
      <c r="O8" s="53" t="s">
        <v>1798</v>
      </c>
      <c r="P8" s="53" t="s">
        <v>1799</v>
      </c>
      <c r="Q8" s="49"/>
      <c r="R8" s="48">
        <v>42453</v>
      </c>
      <c r="S8" s="54" t="s">
        <v>1775</v>
      </c>
    </row>
    <row r="9" spans="1:19" s="61" customFormat="1" ht="30" x14ac:dyDescent="0.25">
      <c r="A9" s="55">
        <v>42542</v>
      </c>
      <c r="B9" s="55">
        <v>42542</v>
      </c>
      <c r="C9" s="56" t="s">
        <v>653</v>
      </c>
      <c r="D9" s="57" t="s">
        <v>1800</v>
      </c>
      <c r="E9" s="56" t="s">
        <v>889</v>
      </c>
      <c r="F9" s="58">
        <v>0</v>
      </c>
      <c r="G9" s="58">
        <v>0</v>
      </c>
      <c r="H9" s="58">
        <v>1920000</v>
      </c>
      <c r="I9" s="58">
        <v>2400000</v>
      </c>
      <c r="J9" s="58">
        <v>0</v>
      </c>
      <c r="K9" s="58">
        <v>1920000</v>
      </c>
      <c r="L9" s="59" t="s">
        <v>1801</v>
      </c>
      <c r="M9" s="56" t="s">
        <v>1191</v>
      </c>
      <c r="N9" s="56" t="s">
        <v>1802</v>
      </c>
      <c r="O9" s="60" t="s">
        <v>1803</v>
      </c>
      <c r="P9" s="60" t="s">
        <v>1804</v>
      </c>
      <c r="Q9" s="56"/>
      <c r="R9" s="55">
        <v>42598</v>
      </c>
      <c r="S9" s="56" t="s">
        <v>1775</v>
      </c>
    </row>
    <row r="10" spans="1:19" s="61" customFormat="1" x14ac:dyDescent="0.25">
      <c r="A10" s="62">
        <v>41744</v>
      </c>
      <c r="B10" s="62">
        <v>42577</v>
      </c>
      <c r="C10" s="63" t="s">
        <v>1781</v>
      </c>
      <c r="D10" s="64" t="s">
        <v>1805</v>
      </c>
      <c r="E10" s="63" t="s">
        <v>1806</v>
      </c>
      <c r="F10" s="65">
        <v>800000</v>
      </c>
      <c r="G10" s="65">
        <v>1000000</v>
      </c>
      <c r="H10" s="65">
        <v>1861614</v>
      </c>
      <c r="I10" s="65">
        <v>2327017</v>
      </c>
      <c r="J10" s="65">
        <v>800000</v>
      </c>
      <c r="K10" s="65">
        <v>-800000</v>
      </c>
      <c r="L10" s="66" t="s">
        <v>1807</v>
      </c>
      <c r="M10" s="63" t="s">
        <v>117</v>
      </c>
      <c r="N10" s="63" t="s">
        <v>1808</v>
      </c>
      <c r="O10" s="67" t="s">
        <v>1809</v>
      </c>
      <c r="P10" s="67" t="s">
        <v>1810</v>
      </c>
      <c r="Q10" s="63"/>
      <c r="R10" s="62">
        <v>42598</v>
      </c>
      <c r="S10" s="63" t="s">
        <v>1775</v>
      </c>
    </row>
    <row r="11" spans="1:19" x14ac:dyDescent="0.25">
      <c r="A11" s="27">
        <v>40878</v>
      </c>
      <c r="B11" s="27">
        <v>42317</v>
      </c>
      <c r="C11" s="28" t="s">
        <v>1754</v>
      </c>
      <c r="D11" s="29">
        <v>9003577</v>
      </c>
      <c r="E11" s="28" t="s">
        <v>884</v>
      </c>
      <c r="F11" s="30">
        <v>3238952</v>
      </c>
      <c r="G11" s="30">
        <v>4048690</v>
      </c>
      <c r="H11" s="30">
        <v>0</v>
      </c>
      <c r="I11" s="30">
        <v>0</v>
      </c>
      <c r="J11" s="30">
        <f>F11-3280000</f>
        <v>-41048</v>
      </c>
      <c r="K11" s="30">
        <v>0</v>
      </c>
      <c r="L11" s="31" t="s">
        <v>1811</v>
      </c>
      <c r="M11" s="28" t="s">
        <v>72</v>
      </c>
      <c r="N11" s="28" t="s">
        <v>1812</v>
      </c>
      <c r="O11" s="32" t="s">
        <v>1813</v>
      </c>
      <c r="P11" s="32" t="s">
        <v>1814</v>
      </c>
      <c r="Q11" s="28"/>
      <c r="R11" s="27">
        <v>42325</v>
      </c>
      <c r="S11" s="28" t="s">
        <v>1775</v>
      </c>
    </row>
    <row r="12" spans="1:19" x14ac:dyDescent="0.25">
      <c r="A12" s="27">
        <v>41116</v>
      </c>
      <c r="B12" s="27">
        <v>42307</v>
      </c>
      <c r="C12" s="28" t="s">
        <v>1754</v>
      </c>
      <c r="D12" s="29" t="s">
        <v>1815</v>
      </c>
      <c r="E12" s="28" t="s">
        <v>884</v>
      </c>
      <c r="F12" s="30">
        <v>438708.66</v>
      </c>
      <c r="G12" s="30">
        <v>487454.13</v>
      </c>
      <c r="H12" s="30">
        <v>0</v>
      </c>
      <c r="I12" s="30">
        <v>0</v>
      </c>
      <c r="J12" s="30">
        <f>F12-492922</f>
        <v>-54213.340000000026</v>
      </c>
      <c r="K12" s="30">
        <v>0</v>
      </c>
      <c r="L12" s="31" t="s">
        <v>764</v>
      </c>
      <c r="M12" s="28" t="s">
        <v>72</v>
      </c>
      <c r="N12" s="28" t="s">
        <v>1816</v>
      </c>
      <c r="O12" s="32" t="s">
        <v>1817</v>
      </c>
      <c r="P12" s="32" t="s">
        <v>1818</v>
      </c>
      <c r="Q12" s="28"/>
      <c r="R12" s="27">
        <v>42325</v>
      </c>
      <c r="S12" s="28" t="s">
        <v>1775</v>
      </c>
    </row>
    <row r="13" spans="1:19" x14ac:dyDescent="0.25">
      <c r="A13" s="33">
        <v>41439</v>
      </c>
      <c r="B13" s="33">
        <v>42611</v>
      </c>
      <c r="C13" s="34" t="s">
        <v>1755</v>
      </c>
      <c r="D13" s="35" t="s">
        <v>1370</v>
      </c>
      <c r="E13" s="34" t="s">
        <v>889</v>
      </c>
      <c r="F13" s="36">
        <f>581647+166666.46</f>
        <v>748313.46</v>
      </c>
      <c r="G13" s="36">
        <f>646274.53+185184.96</f>
        <v>831459.49</v>
      </c>
      <c r="H13" s="36">
        <v>0</v>
      </c>
      <c r="I13" s="36">
        <v>0</v>
      </c>
      <c r="J13" s="36">
        <v>166666.46</v>
      </c>
      <c r="K13" s="36">
        <v>0</v>
      </c>
      <c r="L13" s="37" t="s">
        <v>764</v>
      </c>
      <c r="M13" s="34" t="s">
        <v>72</v>
      </c>
      <c r="N13" s="34" t="s">
        <v>1530</v>
      </c>
      <c r="O13" s="32" t="s">
        <v>1817</v>
      </c>
      <c r="P13" s="32" t="s">
        <v>1818</v>
      </c>
      <c r="Q13" s="34"/>
      <c r="R13" s="33">
        <v>42657</v>
      </c>
      <c r="S13" s="34" t="s">
        <v>1775</v>
      </c>
    </row>
    <row r="14" spans="1:19" ht="15.75" thickBot="1" x14ac:dyDescent="0.3">
      <c r="A14" s="33">
        <v>41339</v>
      </c>
      <c r="B14" s="33">
        <v>42354</v>
      </c>
      <c r="C14" s="34" t="s">
        <v>1754</v>
      </c>
      <c r="D14" s="35" t="s">
        <v>1323</v>
      </c>
      <c r="E14" s="34" t="s">
        <v>884</v>
      </c>
      <c r="F14" s="36">
        <v>284810.87</v>
      </c>
      <c r="G14" s="36">
        <v>316456.65000000002</v>
      </c>
      <c r="H14" s="36">
        <v>0</v>
      </c>
      <c r="I14" s="36">
        <v>0</v>
      </c>
      <c r="J14" s="36">
        <v>9888.33</v>
      </c>
      <c r="K14" s="36">
        <v>0</v>
      </c>
      <c r="L14" s="37" t="s">
        <v>764</v>
      </c>
      <c r="M14" s="34" t="s">
        <v>1191</v>
      </c>
      <c r="N14" s="34" t="s">
        <v>1483</v>
      </c>
      <c r="O14" s="38"/>
      <c r="P14" s="38"/>
      <c r="Q14" s="34"/>
      <c r="R14" s="33">
        <v>42360</v>
      </c>
      <c r="S14" s="34" t="s">
        <v>1775</v>
      </c>
    </row>
    <row r="15" spans="1:19" x14ac:dyDescent="0.25">
      <c r="A15" s="135">
        <v>41085</v>
      </c>
      <c r="B15" s="140">
        <v>42481</v>
      </c>
      <c r="C15" s="142" t="s">
        <v>1754</v>
      </c>
      <c r="D15" s="147" t="s">
        <v>1403</v>
      </c>
      <c r="E15" s="142" t="s">
        <v>890</v>
      </c>
      <c r="F15" s="154">
        <v>180000</v>
      </c>
      <c r="G15" s="154">
        <v>225000</v>
      </c>
      <c r="H15" s="154">
        <v>0</v>
      </c>
      <c r="I15" s="154">
        <v>0</v>
      </c>
      <c r="J15" s="154">
        <v>20000</v>
      </c>
      <c r="K15" s="154">
        <v>0</v>
      </c>
      <c r="L15" s="159" t="s">
        <v>764</v>
      </c>
      <c r="M15" s="142" t="s">
        <v>72</v>
      </c>
      <c r="N15" s="142" t="s">
        <v>1563</v>
      </c>
      <c r="O15" s="164" t="s">
        <v>233</v>
      </c>
      <c r="P15" s="164" t="s">
        <v>2184</v>
      </c>
      <c r="Q15" s="142"/>
      <c r="R15" s="140">
        <v>42488</v>
      </c>
      <c r="S15" s="169" t="s">
        <v>1775</v>
      </c>
    </row>
    <row r="16" spans="1:19" x14ac:dyDescent="0.25">
      <c r="A16" s="68">
        <v>40876</v>
      </c>
      <c r="B16" s="69">
        <v>42495</v>
      </c>
      <c r="C16" s="70" t="s">
        <v>1819</v>
      </c>
      <c r="D16" s="71" t="s">
        <v>1820</v>
      </c>
      <c r="E16" s="70" t="s">
        <v>878</v>
      </c>
      <c r="F16" s="72">
        <v>87849.96</v>
      </c>
      <c r="G16" s="72">
        <f>F16*1.25</f>
        <v>109812.45000000001</v>
      </c>
      <c r="H16" s="72">
        <v>3687150.04</v>
      </c>
      <c r="I16" s="72">
        <f>H16*1.25</f>
        <v>4608937.55</v>
      </c>
      <c r="J16" s="72">
        <v>87850</v>
      </c>
      <c r="K16" s="72">
        <v>-167849.96</v>
      </c>
      <c r="L16" s="73" t="s">
        <v>1821</v>
      </c>
      <c r="M16" s="70" t="s">
        <v>1191</v>
      </c>
      <c r="N16" s="70" t="s">
        <v>1822</v>
      </c>
      <c r="O16" s="74" t="s">
        <v>1823</v>
      </c>
      <c r="P16" s="74"/>
      <c r="Q16" s="70"/>
      <c r="R16" s="69">
        <v>42508</v>
      </c>
      <c r="S16" s="75" t="s">
        <v>1775</v>
      </c>
    </row>
    <row r="17" spans="1:19" ht="15.75" thickBot="1" x14ac:dyDescent="0.3">
      <c r="A17" s="47">
        <v>40876</v>
      </c>
      <c r="B17" s="48">
        <v>42495</v>
      </c>
      <c r="C17" s="49" t="s">
        <v>1755</v>
      </c>
      <c r="D17" s="50" t="s">
        <v>1820</v>
      </c>
      <c r="E17" s="49" t="s">
        <v>892</v>
      </c>
      <c r="F17" s="51">
        <v>14225000</v>
      </c>
      <c r="G17" s="51">
        <v>17781250</v>
      </c>
      <c r="H17" s="51">
        <v>0</v>
      </c>
      <c r="I17" s="51">
        <v>0</v>
      </c>
      <c r="J17" s="51">
        <v>80000</v>
      </c>
      <c r="K17" s="51">
        <v>0</v>
      </c>
      <c r="L17" s="52" t="s">
        <v>1821</v>
      </c>
      <c r="M17" s="49" t="s">
        <v>1191</v>
      </c>
      <c r="N17" s="49" t="s">
        <v>1822</v>
      </c>
      <c r="O17" s="53" t="s">
        <v>1823</v>
      </c>
      <c r="P17" s="53"/>
      <c r="Q17" s="49"/>
      <c r="R17" s="48">
        <v>42508</v>
      </c>
      <c r="S17" s="54" t="s">
        <v>1775</v>
      </c>
    </row>
    <row r="18" spans="1:19" ht="30" x14ac:dyDescent="0.25">
      <c r="A18" s="136">
        <v>41927</v>
      </c>
      <c r="B18" s="136">
        <v>42586</v>
      </c>
      <c r="C18" s="143" t="s">
        <v>1781</v>
      </c>
      <c r="D18" s="148" t="s">
        <v>1824</v>
      </c>
      <c r="E18" s="143" t="s">
        <v>889</v>
      </c>
      <c r="F18" s="155">
        <v>3000000</v>
      </c>
      <c r="G18" s="155">
        <v>3750000</v>
      </c>
      <c r="H18" s="155">
        <v>0</v>
      </c>
      <c r="I18" s="155">
        <v>0</v>
      </c>
      <c r="J18" s="155">
        <v>3000000</v>
      </c>
      <c r="K18" s="155">
        <v>-3000000</v>
      </c>
      <c r="L18" s="160" t="s">
        <v>1821</v>
      </c>
      <c r="M18" s="143" t="s">
        <v>72</v>
      </c>
      <c r="N18" s="143" t="s">
        <v>1825</v>
      </c>
      <c r="O18" s="165" t="s">
        <v>1826</v>
      </c>
      <c r="P18" s="165" t="s">
        <v>239</v>
      </c>
      <c r="Q18" s="143"/>
      <c r="R18" s="136">
        <v>42587</v>
      </c>
      <c r="S18" s="143" t="s">
        <v>1775</v>
      </c>
    </row>
    <row r="19" spans="1:19" x14ac:dyDescent="0.25">
      <c r="A19" s="27">
        <v>38880</v>
      </c>
      <c r="B19" s="27">
        <v>42482</v>
      </c>
      <c r="C19" s="28" t="s">
        <v>1755</v>
      </c>
      <c r="D19" s="29" t="s">
        <v>1827</v>
      </c>
      <c r="E19" s="28" t="s">
        <v>1828</v>
      </c>
      <c r="F19" s="30">
        <v>313109.76000000001</v>
      </c>
      <c r="G19" s="30">
        <v>391387.22</v>
      </c>
      <c r="H19" s="30">
        <v>0</v>
      </c>
      <c r="I19" s="30">
        <v>0</v>
      </c>
      <c r="J19" s="30">
        <v>-39802.239999999998</v>
      </c>
      <c r="K19" s="30">
        <v>0</v>
      </c>
      <c r="L19" s="31" t="s">
        <v>1829</v>
      </c>
      <c r="M19" s="28" t="s">
        <v>72</v>
      </c>
      <c r="N19" s="28" t="s">
        <v>1830</v>
      </c>
      <c r="O19" s="32" t="s">
        <v>1831</v>
      </c>
      <c r="P19" s="32" t="s">
        <v>239</v>
      </c>
      <c r="Q19" s="28"/>
      <c r="R19" s="27">
        <v>42488</v>
      </c>
      <c r="S19" s="28" t="s">
        <v>1775</v>
      </c>
    </row>
    <row r="20" spans="1:19" x14ac:dyDescent="0.25">
      <c r="A20" s="27">
        <v>42634</v>
      </c>
      <c r="B20" s="27">
        <v>42634</v>
      </c>
      <c r="C20" s="28" t="s">
        <v>653</v>
      </c>
      <c r="D20" s="29" t="s">
        <v>1832</v>
      </c>
      <c r="E20" s="28" t="s">
        <v>889</v>
      </c>
      <c r="F20" s="30">
        <v>0</v>
      </c>
      <c r="G20" s="30">
        <v>0</v>
      </c>
      <c r="H20" s="30">
        <v>1961890</v>
      </c>
      <c r="I20" s="30">
        <v>2452363</v>
      </c>
      <c r="J20" s="30">
        <v>0</v>
      </c>
      <c r="K20" s="30">
        <v>1961890</v>
      </c>
      <c r="L20" s="31" t="s">
        <v>1829</v>
      </c>
      <c r="M20" s="28" t="s">
        <v>72</v>
      </c>
      <c r="N20" s="28" t="s">
        <v>1833</v>
      </c>
      <c r="O20" s="32" t="s">
        <v>1831</v>
      </c>
      <c r="P20" s="32" t="s">
        <v>239</v>
      </c>
      <c r="Q20" s="28"/>
      <c r="R20" s="27">
        <v>42657</v>
      </c>
      <c r="S20" s="28" t="s">
        <v>1775</v>
      </c>
    </row>
    <row r="21" spans="1:19" x14ac:dyDescent="0.25">
      <c r="A21" s="27">
        <v>42502</v>
      </c>
      <c r="B21" s="27">
        <v>42502</v>
      </c>
      <c r="C21" s="28" t="s">
        <v>653</v>
      </c>
      <c r="D21" s="29" t="s">
        <v>1834</v>
      </c>
      <c r="E21" s="28" t="s">
        <v>889</v>
      </c>
      <c r="F21" s="30">
        <v>0</v>
      </c>
      <c r="G21" s="30">
        <v>0</v>
      </c>
      <c r="H21" s="30">
        <v>3280000</v>
      </c>
      <c r="I21" s="30">
        <v>4100000</v>
      </c>
      <c r="J21" s="30">
        <v>0</v>
      </c>
      <c r="K21" s="30">
        <v>3280000</v>
      </c>
      <c r="L21" s="31" t="s">
        <v>1835</v>
      </c>
      <c r="M21" s="28" t="s">
        <v>1191</v>
      </c>
      <c r="N21" s="28" t="s">
        <v>1836</v>
      </c>
      <c r="O21" s="32" t="s">
        <v>1837</v>
      </c>
      <c r="P21" s="32" t="s">
        <v>239</v>
      </c>
      <c r="Q21" s="28"/>
      <c r="R21" s="27">
        <v>42506</v>
      </c>
      <c r="S21" s="28" t="s">
        <v>1775</v>
      </c>
    </row>
    <row r="22" spans="1:19" ht="30" x14ac:dyDescent="0.25">
      <c r="A22" s="27">
        <v>41774</v>
      </c>
      <c r="B22" s="27">
        <v>42577</v>
      </c>
      <c r="C22" s="28" t="s">
        <v>1781</v>
      </c>
      <c r="D22" s="29" t="s">
        <v>1838</v>
      </c>
      <c r="E22" s="28" t="s">
        <v>889</v>
      </c>
      <c r="F22" s="30">
        <v>503968.62</v>
      </c>
      <c r="G22" s="30">
        <v>629960.78</v>
      </c>
      <c r="H22" s="30">
        <v>0</v>
      </c>
      <c r="I22" s="30">
        <v>0</v>
      </c>
      <c r="J22" s="30">
        <v>503968.62</v>
      </c>
      <c r="K22" s="30">
        <v>-503968.62</v>
      </c>
      <c r="L22" s="31" t="s">
        <v>1835</v>
      </c>
      <c r="M22" s="28" t="s">
        <v>117</v>
      </c>
      <c r="N22" s="28" t="s">
        <v>1839</v>
      </c>
      <c r="O22" s="32" t="s">
        <v>1840</v>
      </c>
      <c r="P22" s="32" t="s">
        <v>239</v>
      </c>
      <c r="Q22" s="28"/>
      <c r="R22" s="27">
        <v>42580</v>
      </c>
      <c r="S22" s="28" t="s">
        <v>1775</v>
      </c>
    </row>
    <row r="23" spans="1:19" ht="30" x14ac:dyDescent="0.25">
      <c r="A23" s="27">
        <v>41759</v>
      </c>
      <c r="B23" s="27">
        <v>42577</v>
      </c>
      <c r="C23" s="28" t="s">
        <v>1781</v>
      </c>
      <c r="D23" s="29" t="s">
        <v>1841</v>
      </c>
      <c r="E23" s="32" t="s">
        <v>1783</v>
      </c>
      <c r="F23" s="30">
        <v>1212400</v>
      </c>
      <c r="G23" s="30">
        <f>1250000+265500</f>
        <v>1515500</v>
      </c>
      <c r="H23" s="30">
        <v>203600</v>
      </c>
      <c r="I23" s="30">
        <v>254500</v>
      </c>
      <c r="J23" s="30">
        <v>1000000</v>
      </c>
      <c r="K23" s="30">
        <v>-1000000</v>
      </c>
      <c r="L23" s="31" t="s">
        <v>1835</v>
      </c>
      <c r="M23" s="28" t="s">
        <v>117</v>
      </c>
      <c r="N23" s="28" t="s">
        <v>1842</v>
      </c>
      <c r="O23" s="32" t="s">
        <v>1843</v>
      </c>
      <c r="P23" s="32" t="s">
        <v>239</v>
      </c>
      <c r="Q23" s="28"/>
      <c r="R23" s="27">
        <v>42598</v>
      </c>
      <c r="S23" s="28" t="s">
        <v>1775</v>
      </c>
    </row>
    <row r="24" spans="1:19" ht="30" x14ac:dyDescent="0.25">
      <c r="A24" s="27">
        <v>41442</v>
      </c>
      <c r="B24" s="27">
        <v>42577</v>
      </c>
      <c r="C24" s="28" t="s">
        <v>1781</v>
      </c>
      <c r="D24" s="29" t="s">
        <v>1844</v>
      </c>
      <c r="E24" s="32" t="s">
        <v>1845</v>
      </c>
      <c r="F24" s="30">
        <v>1200000</v>
      </c>
      <c r="G24" s="30">
        <v>1500000</v>
      </c>
      <c r="H24" s="30">
        <v>800000</v>
      </c>
      <c r="I24" s="30">
        <v>1000000</v>
      </c>
      <c r="J24" s="30">
        <v>1000000</v>
      </c>
      <c r="K24" s="30">
        <v>-1000000</v>
      </c>
      <c r="L24" s="31" t="s">
        <v>1835</v>
      </c>
      <c r="M24" s="28" t="s">
        <v>72</v>
      </c>
      <c r="N24" s="28" t="s">
        <v>1846</v>
      </c>
      <c r="O24" s="32" t="s">
        <v>1847</v>
      </c>
      <c r="P24" s="32" t="s">
        <v>239</v>
      </c>
      <c r="Q24" s="28"/>
      <c r="R24" s="27">
        <v>42598</v>
      </c>
      <c r="S24" s="28" t="s">
        <v>1775</v>
      </c>
    </row>
    <row r="25" spans="1:19" ht="30" x14ac:dyDescent="0.25">
      <c r="A25" s="27">
        <v>42047</v>
      </c>
      <c r="B25" s="27">
        <v>42577</v>
      </c>
      <c r="C25" s="28" t="s">
        <v>1781</v>
      </c>
      <c r="D25" s="29" t="s">
        <v>1848</v>
      </c>
      <c r="E25" s="28" t="s">
        <v>892</v>
      </c>
      <c r="F25" s="30">
        <v>300000</v>
      </c>
      <c r="G25" s="30">
        <f>F25*1.25</f>
        <v>375000</v>
      </c>
      <c r="H25" s="30">
        <v>1540000</v>
      </c>
      <c r="I25" s="30">
        <f>H25*1.25</f>
        <v>1925000</v>
      </c>
      <c r="J25" s="30">
        <v>300000</v>
      </c>
      <c r="K25" s="30">
        <v>-300000</v>
      </c>
      <c r="L25" s="31" t="s">
        <v>1835</v>
      </c>
      <c r="M25" s="28" t="s">
        <v>1849</v>
      </c>
      <c r="N25" s="28" t="s">
        <v>1850</v>
      </c>
      <c r="O25" s="32" t="s">
        <v>1851</v>
      </c>
      <c r="P25" s="32" t="s">
        <v>239</v>
      </c>
      <c r="Q25" s="28"/>
      <c r="R25" s="27">
        <v>42598</v>
      </c>
      <c r="S25" s="28" t="s">
        <v>1775</v>
      </c>
    </row>
    <row r="26" spans="1:19" ht="30" x14ac:dyDescent="0.25">
      <c r="A26" s="27">
        <v>42047</v>
      </c>
      <c r="B26" s="27">
        <v>42600</v>
      </c>
      <c r="C26" s="28" t="s">
        <v>1781</v>
      </c>
      <c r="D26" s="29" t="s">
        <v>1848</v>
      </c>
      <c r="E26" s="28" t="s">
        <v>1852</v>
      </c>
      <c r="F26" s="30">
        <v>1000000</v>
      </c>
      <c r="G26" s="30">
        <f>F26*1.25</f>
        <v>1250000</v>
      </c>
      <c r="H26" s="30">
        <v>840000</v>
      </c>
      <c r="I26" s="30">
        <f>H26*1.25</f>
        <v>1050000</v>
      </c>
      <c r="J26" s="30">
        <v>700000</v>
      </c>
      <c r="K26" s="30">
        <v>-700000</v>
      </c>
      <c r="L26" s="31" t="s">
        <v>1835</v>
      </c>
      <c r="M26" s="28" t="s">
        <v>1849</v>
      </c>
      <c r="N26" s="28" t="s">
        <v>1850</v>
      </c>
      <c r="O26" s="32" t="s">
        <v>1851</v>
      </c>
      <c r="P26" s="32" t="s">
        <v>239</v>
      </c>
      <c r="Q26" s="28"/>
      <c r="R26" s="27">
        <v>42657</v>
      </c>
      <c r="S26" s="28" t="s">
        <v>1775</v>
      </c>
    </row>
    <row r="27" spans="1:19" ht="30" x14ac:dyDescent="0.25">
      <c r="A27" s="27">
        <v>41772</v>
      </c>
      <c r="B27" s="27">
        <v>42600</v>
      </c>
      <c r="C27" s="28" t="s">
        <v>1781</v>
      </c>
      <c r="D27" s="29" t="s">
        <v>1853</v>
      </c>
      <c r="E27" s="32" t="s">
        <v>1854</v>
      </c>
      <c r="F27" s="30">
        <f>6713.99+112888.38+107953.63+1285602.4</f>
        <v>1513158.4</v>
      </c>
      <c r="G27" s="30">
        <f>8392.49+141110.47+134942.04+1607003</f>
        <v>1891448</v>
      </c>
      <c r="H27" s="30">
        <v>0</v>
      </c>
      <c r="I27" s="30">
        <v>0</v>
      </c>
      <c r="J27" s="30">
        <v>1285602.3999999999</v>
      </c>
      <c r="K27" s="30">
        <v>-1285602</v>
      </c>
      <c r="L27" s="31" t="s">
        <v>1835</v>
      </c>
      <c r="M27" s="28" t="s">
        <v>117</v>
      </c>
      <c r="N27" s="28" t="s">
        <v>1855</v>
      </c>
      <c r="O27" s="32" t="s">
        <v>1856</v>
      </c>
      <c r="P27" s="32" t="s">
        <v>239</v>
      </c>
      <c r="Q27" s="28"/>
      <c r="R27" s="27">
        <v>42657</v>
      </c>
      <c r="S27" s="28" t="s">
        <v>1775</v>
      </c>
    </row>
    <row r="28" spans="1:19" x14ac:dyDescent="0.25">
      <c r="A28" s="27">
        <v>36861</v>
      </c>
      <c r="B28" s="27">
        <v>42349</v>
      </c>
      <c r="C28" s="28" t="s">
        <v>1754</v>
      </c>
      <c r="D28" s="29" t="s">
        <v>1857</v>
      </c>
      <c r="E28" s="28" t="s">
        <v>1858</v>
      </c>
      <c r="F28" s="30">
        <v>2530280.5499999998</v>
      </c>
      <c r="G28" s="30">
        <v>3162850.77</v>
      </c>
      <c r="H28" s="30">
        <v>0</v>
      </c>
      <c r="I28" s="30">
        <v>0</v>
      </c>
      <c r="J28" s="30">
        <f>-3440.86+-14346.59</f>
        <v>-17787.45</v>
      </c>
      <c r="K28" s="30">
        <v>0</v>
      </c>
      <c r="L28" s="31" t="s">
        <v>1859</v>
      </c>
      <c r="M28" s="28" t="s">
        <v>117</v>
      </c>
      <c r="N28" s="28" t="s">
        <v>1860</v>
      </c>
      <c r="O28" s="32"/>
      <c r="P28" s="32"/>
      <c r="Q28" s="28"/>
      <c r="R28" s="27">
        <v>42360</v>
      </c>
      <c r="S28" s="28" t="s">
        <v>1775</v>
      </c>
    </row>
    <row r="29" spans="1:19" ht="30" x14ac:dyDescent="0.25">
      <c r="A29" s="27">
        <v>40199</v>
      </c>
      <c r="B29" s="27">
        <v>42509</v>
      </c>
      <c r="C29" s="28" t="s">
        <v>1754</v>
      </c>
      <c r="D29" s="29" t="s">
        <v>1297</v>
      </c>
      <c r="E29" s="28" t="s">
        <v>890</v>
      </c>
      <c r="F29" s="30">
        <v>111821.12</v>
      </c>
      <c r="G29" s="30">
        <v>139776.4</v>
      </c>
      <c r="H29" s="30">
        <v>0</v>
      </c>
      <c r="I29" s="30">
        <v>0</v>
      </c>
      <c r="J29" s="30">
        <v>0</v>
      </c>
      <c r="K29" s="30">
        <v>0</v>
      </c>
      <c r="L29" s="31" t="s">
        <v>740</v>
      </c>
      <c r="M29" s="28" t="s">
        <v>72</v>
      </c>
      <c r="N29" s="28" t="s">
        <v>1457</v>
      </c>
      <c r="O29" s="32" t="s">
        <v>1209</v>
      </c>
      <c r="P29" s="32" t="s">
        <v>1861</v>
      </c>
      <c r="Q29" s="28"/>
      <c r="R29" s="27">
        <v>42641</v>
      </c>
      <c r="S29" s="28" t="s">
        <v>1775</v>
      </c>
    </row>
    <row r="30" spans="1:19" ht="45" x14ac:dyDescent="0.25">
      <c r="A30" s="27">
        <v>42395</v>
      </c>
      <c r="B30" s="27">
        <v>42395</v>
      </c>
      <c r="C30" s="28" t="s">
        <v>653</v>
      </c>
      <c r="D30" s="29" t="s">
        <v>1862</v>
      </c>
      <c r="E30" s="28" t="s">
        <v>889</v>
      </c>
      <c r="F30" s="30">
        <v>0</v>
      </c>
      <c r="G30" s="30">
        <v>0</v>
      </c>
      <c r="H30" s="30">
        <v>1920000</v>
      </c>
      <c r="I30" s="30">
        <v>3232345</v>
      </c>
      <c r="J30" s="30">
        <v>0</v>
      </c>
      <c r="K30" s="30">
        <v>1920000</v>
      </c>
      <c r="L30" s="31" t="s">
        <v>1863</v>
      </c>
      <c r="M30" s="28" t="s">
        <v>72</v>
      </c>
      <c r="N30" s="28" t="s">
        <v>1864</v>
      </c>
      <c r="O30" s="32" t="s">
        <v>75</v>
      </c>
      <c r="P30" s="32" t="s">
        <v>1865</v>
      </c>
      <c r="Q30" s="28"/>
      <c r="R30" s="27">
        <v>42404</v>
      </c>
      <c r="S30" s="28" t="s">
        <v>1775</v>
      </c>
    </row>
    <row r="31" spans="1:19" ht="45" x14ac:dyDescent="0.25">
      <c r="A31" s="33">
        <v>42395</v>
      </c>
      <c r="B31" s="33">
        <v>42565</v>
      </c>
      <c r="C31" s="34" t="s">
        <v>1866</v>
      </c>
      <c r="D31" s="35" t="s">
        <v>1862</v>
      </c>
      <c r="E31" s="34" t="s">
        <v>889</v>
      </c>
      <c r="F31" s="36">
        <v>1920000</v>
      </c>
      <c r="G31" s="36">
        <v>6648573</v>
      </c>
      <c r="H31" s="36">
        <v>0</v>
      </c>
      <c r="I31" s="36">
        <v>0</v>
      </c>
      <c r="J31" s="36">
        <v>1920000</v>
      </c>
      <c r="K31" s="36">
        <v>-1920000</v>
      </c>
      <c r="L31" s="37" t="s">
        <v>1863</v>
      </c>
      <c r="M31" s="34" t="s">
        <v>72</v>
      </c>
      <c r="N31" s="34" t="s">
        <v>1864</v>
      </c>
      <c r="O31" s="38" t="s">
        <v>75</v>
      </c>
      <c r="P31" s="38" t="s">
        <v>1865</v>
      </c>
      <c r="Q31" s="34"/>
      <c r="R31" s="33">
        <v>42566</v>
      </c>
      <c r="S31" s="34" t="s">
        <v>1775</v>
      </c>
    </row>
    <row r="32" spans="1:19" x14ac:dyDescent="0.25">
      <c r="A32" s="33">
        <v>40394</v>
      </c>
      <c r="B32" s="33">
        <v>42508</v>
      </c>
      <c r="C32" s="34" t="s">
        <v>1754</v>
      </c>
      <c r="D32" s="35" t="s">
        <v>1867</v>
      </c>
      <c r="E32" s="34" t="s">
        <v>1777</v>
      </c>
      <c r="F32" s="36">
        <v>312291.75</v>
      </c>
      <c r="G32" s="36">
        <v>400513.15</v>
      </c>
      <c r="H32" s="36">
        <v>0</v>
      </c>
      <c r="I32" s="36">
        <v>0</v>
      </c>
      <c r="J32" s="36">
        <v>-3184.25</v>
      </c>
      <c r="K32" s="36">
        <v>0</v>
      </c>
      <c r="L32" s="37" t="s">
        <v>1868</v>
      </c>
      <c r="M32" s="34" t="s">
        <v>72</v>
      </c>
      <c r="N32" s="34" t="s">
        <v>1869</v>
      </c>
      <c r="O32" s="38" t="s">
        <v>80</v>
      </c>
      <c r="P32" s="38" t="s">
        <v>1870</v>
      </c>
      <c r="Q32" s="34"/>
      <c r="R32" s="33">
        <v>42536</v>
      </c>
      <c r="S32" s="34" t="s">
        <v>1775</v>
      </c>
    </row>
    <row r="33" spans="1:19" ht="30" x14ac:dyDescent="0.25">
      <c r="A33" s="33">
        <v>41673</v>
      </c>
      <c r="B33" s="33">
        <v>42457</v>
      </c>
      <c r="C33" s="34" t="s">
        <v>1755</v>
      </c>
      <c r="D33" s="35" t="s">
        <v>1437</v>
      </c>
      <c r="E33" s="34" t="s">
        <v>884</v>
      </c>
      <c r="F33" s="36">
        <v>0</v>
      </c>
      <c r="G33" s="36">
        <v>0</v>
      </c>
      <c r="H33" s="36">
        <v>3680000</v>
      </c>
      <c r="I33" s="36">
        <v>4600000</v>
      </c>
      <c r="J33" s="36">
        <v>0</v>
      </c>
      <c r="K33" s="36">
        <v>2080000</v>
      </c>
      <c r="L33" s="37" t="s">
        <v>859</v>
      </c>
      <c r="M33" s="34" t="s">
        <v>73</v>
      </c>
      <c r="N33" s="34" t="s">
        <v>1597</v>
      </c>
      <c r="O33" s="38" t="s">
        <v>73</v>
      </c>
      <c r="P33" s="38" t="s">
        <v>1871</v>
      </c>
      <c r="Q33" s="34"/>
      <c r="R33" s="33">
        <v>42496</v>
      </c>
      <c r="S33" s="34" t="s">
        <v>1775</v>
      </c>
    </row>
    <row r="34" spans="1:19" ht="30" x14ac:dyDescent="0.25">
      <c r="A34" s="33">
        <v>41673</v>
      </c>
      <c r="B34" s="33">
        <v>42587</v>
      </c>
      <c r="C34" s="34" t="s">
        <v>1755</v>
      </c>
      <c r="D34" s="35" t="s">
        <v>1437</v>
      </c>
      <c r="E34" s="34" t="s">
        <v>889</v>
      </c>
      <c r="F34" s="36">
        <v>3680000</v>
      </c>
      <c r="G34" s="36">
        <v>4600000</v>
      </c>
      <c r="H34" s="36">
        <v>0</v>
      </c>
      <c r="I34" s="36">
        <v>0</v>
      </c>
      <c r="J34" s="36">
        <v>3680000</v>
      </c>
      <c r="K34" s="36">
        <v>-3680000</v>
      </c>
      <c r="L34" s="37" t="s">
        <v>859</v>
      </c>
      <c r="M34" s="34" t="s">
        <v>73</v>
      </c>
      <c r="N34" s="34" t="s">
        <v>1597</v>
      </c>
      <c r="O34" s="38" t="s">
        <v>73</v>
      </c>
      <c r="P34" s="38" t="s">
        <v>1871</v>
      </c>
      <c r="Q34" s="34"/>
      <c r="R34" s="33">
        <v>42597</v>
      </c>
      <c r="S34" s="34" t="s">
        <v>1775</v>
      </c>
    </row>
    <row r="35" spans="1:19" x14ac:dyDescent="0.25">
      <c r="A35" s="33">
        <v>41400</v>
      </c>
      <c r="B35" s="33">
        <v>42569</v>
      </c>
      <c r="C35" s="34" t="s">
        <v>1754</v>
      </c>
      <c r="D35" s="35" t="s">
        <v>1872</v>
      </c>
      <c r="E35" s="34" t="s">
        <v>884</v>
      </c>
      <c r="F35" s="36">
        <v>51736.54</v>
      </c>
      <c r="G35" s="36">
        <v>64670.67</v>
      </c>
      <c r="H35" s="36">
        <v>0</v>
      </c>
      <c r="I35" s="36">
        <v>0</v>
      </c>
      <c r="J35" s="36">
        <v>-217.46</v>
      </c>
      <c r="K35" s="36">
        <v>0</v>
      </c>
      <c r="L35" s="37" t="s">
        <v>859</v>
      </c>
      <c r="M35" s="34" t="s">
        <v>212</v>
      </c>
      <c r="N35" s="34" t="s">
        <v>1873</v>
      </c>
      <c r="O35" s="38" t="s">
        <v>1874</v>
      </c>
      <c r="P35" s="38" t="s">
        <v>1875</v>
      </c>
      <c r="Q35" s="34"/>
      <c r="R35" s="33">
        <v>42598</v>
      </c>
      <c r="S35" s="34" t="s">
        <v>1775</v>
      </c>
    </row>
    <row r="36" spans="1:19" x14ac:dyDescent="0.25">
      <c r="A36" s="27">
        <v>42494</v>
      </c>
      <c r="B36" s="27">
        <v>42494</v>
      </c>
      <c r="C36" s="28" t="s">
        <v>653</v>
      </c>
      <c r="D36" s="29" t="s">
        <v>1876</v>
      </c>
      <c r="E36" s="28" t="s">
        <v>889</v>
      </c>
      <c r="F36" s="30">
        <v>0</v>
      </c>
      <c r="G36" s="30">
        <v>0</v>
      </c>
      <c r="H36" s="30">
        <v>764000</v>
      </c>
      <c r="I36" s="30">
        <v>955000</v>
      </c>
      <c r="J36" s="30">
        <v>0</v>
      </c>
      <c r="K36" s="30">
        <v>764000</v>
      </c>
      <c r="L36" s="31" t="s">
        <v>859</v>
      </c>
      <c r="M36" s="28" t="s">
        <v>1191</v>
      </c>
      <c r="N36" s="28" t="s">
        <v>1877</v>
      </c>
      <c r="O36" s="32" t="s">
        <v>1878</v>
      </c>
      <c r="P36" s="32" t="s">
        <v>1879</v>
      </c>
      <c r="Q36" s="28"/>
      <c r="R36" s="27">
        <v>42494</v>
      </c>
      <c r="S36" s="28" t="s">
        <v>1775</v>
      </c>
    </row>
    <row r="37" spans="1:19" x14ac:dyDescent="0.25">
      <c r="A37" s="62">
        <v>40464</v>
      </c>
      <c r="B37" s="62">
        <v>42473</v>
      </c>
      <c r="C37" s="63" t="s">
        <v>1754</v>
      </c>
      <c r="D37" s="64" t="s">
        <v>1880</v>
      </c>
      <c r="E37" s="63" t="s">
        <v>890</v>
      </c>
      <c r="F37" s="65">
        <v>55953.19</v>
      </c>
      <c r="G37" s="65">
        <v>69941.5</v>
      </c>
      <c r="H37" s="65">
        <v>0</v>
      </c>
      <c r="I37" s="65">
        <v>0</v>
      </c>
      <c r="J37" s="65">
        <v>46.81</v>
      </c>
      <c r="K37" s="65">
        <v>0</v>
      </c>
      <c r="L37" s="66" t="s">
        <v>1881</v>
      </c>
      <c r="M37" s="63" t="s">
        <v>117</v>
      </c>
      <c r="N37" s="63" t="s">
        <v>1882</v>
      </c>
      <c r="O37" s="67" t="s">
        <v>1878</v>
      </c>
      <c r="P37" s="67" t="s">
        <v>1883</v>
      </c>
      <c r="Q37" s="63"/>
      <c r="R37" s="62">
        <v>42488</v>
      </c>
      <c r="S37" s="63" t="s">
        <v>1775</v>
      </c>
    </row>
    <row r="38" spans="1:19" ht="30" x14ac:dyDescent="0.25">
      <c r="A38" s="82">
        <v>42340</v>
      </c>
      <c r="B38" s="82">
        <v>42340</v>
      </c>
      <c r="C38" s="83" t="s">
        <v>653</v>
      </c>
      <c r="D38" s="84" t="s">
        <v>1884</v>
      </c>
      <c r="E38" s="83" t="s">
        <v>889</v>
      </c>
      <c r="F38" s="85">
        <v>0</v>
      </c>
      <c r="G38" s="85">
        <v>0</v>
      </c>
      <c r="H38" s="85">
        <v>808000</v>
      </c>
      <c r="I38" s="85">
        <v>1010000</v>
      </c>
      <c r="J38" s="85">
        <v>0</v>
      </c>
      <c r="K38" s="85">
        <v>808000</v>
      </c>
      <c r="L38" s="86" t="s">
        <v>1881</v>
      </c>
      <c r="M38" s="83" t="s">
        <v>1191</v>
      </c>
      <c r="N38" s="63" t="s">
        <v>1885</v>
      </c>
      <c r="O38" s="67" t="s">
        <v>1878</v>
      </c>
      <c r="P38" s="67" t="s">
        <v>1886</v>
      </c>
      <c r="Q38" s="63"/>
      <c r="R38" s="62">
        <v>42598</v>
      </c>
      <c r="S38" s="63" t="s">
        <v>1775</v>
      </c>
    </row>
    <row r="39" spans="1:19" ht="30.75" thickBot="1" x14ac:dyDescent="0.3">
      <c r="A39" s="82">
        <v>42340</v>
      </c>
      <c r="B39" s="82">
        <v>42495</v>
      </c>
      <c r="C39" s="83" t="s">
        <v>1781</v>
      </c>
      <c r="D39" s="84" t="s">
        <v>1884</v>
      </c>
      <c r="E39" s="83" t="s">
        <v>889</v>
      </c>
      <c r="F39" s="85">
        <v>808000</v>
      </c>
      <c r="G39" s="85">
        <v>1134908</v>
      </c>
      <c r="H39" s="85">
        <v>0</v>
      </c>
      <c r="I39" s="85">
        <v>0</v>
      </c>
      <c r="J39" s="85">
        <v>808000</v>
      </c>
      <c r="K39" s="85">
        <v>-808000</v>
      </c>
      <c r="L39" s="86" t="s">
        <v>1881</v>
      </c>
      <c r="M39" s="83" t="s">
        <v>1191</v>
      </c>
      <c r="N39" s="63" t="s">
        <v>1885</v>
      </c>
      <c r="O39" s="67" t="s">
        <v>1878</v>
      </c>
      <c r="P39" s="67" t="s">
        <v>1886</v>
      </c>
      <c r="Q39" s="63"/>
      <c r="R39" s="62">
        <v>42598</v>
      </c>
      <c r="S39" s="63" t="s">
        <v>1775</v>
      </c>
    </row>
    <row r="40" spans="1:19" ht="30" x14ac:dyDescent="0.25">
      <c r="A40" s="138">
        <v>42340</v>
      </c>
      <c r="B40" s="141">
        <v>42551</v>
      </c>
      <c r="C40" s="145" t="s">
        <v>1755</v>
      </c>
      <c r="D40" s="151" t="s">
        <v>1884</v>
      </c>
      <c r="E40" s="145" t="s">
        <v>889</v>
      </c>
      <c r="F40" s="157">
        <v>907923</v>
      </c>
      <c r="G40" s="157">
        <v>1134908</v>
      </c>
      <c r="H40" s="157">
        <v>0</v>
      </c>
      <c r="I40" s="157">
        <v>0</v>
      </c>
      <c r="J40" s="157">
        <v>99923</v>
      </c>
      <c r="K40" s="157">
        <v>0</v>
      </c>
      <c r="L40" s="163" t="s">
        <v>1881</v>
      </c>
      <c r="M40" s="145" t="s">
        <v>1191</v>
      </c>
      <c r="N40" s="145" t="s">
        <v>1885</v>
      </c>
      <c r="O40" s="167" t="s">
        <v>1878</v>
      </c>
      <c r="P40" s="167" t="s">
        <v>1886</v>
      </c>
      <c r="Q40" s="145"/>
      <c r="R40" s="141">
        <v>42598</v>
      </c>
      <c r="S40" s="170" t="s">
        <v>1775</v>
      </c>
    </row>
    <row r="41" spans="1:19" ht="30.75" thickBot="1" x14ac:dyDescent="0.3">
      <c r="A41" s="47">
        <v>42360</v>
      </c>
      <c r="B41" s="48">
        <v>42360</v>
      </c>
      <c r="C41" s="49" t="s">
        <v>653</v>
      </c>
      <c r="D41" s="87" t="s">
        <v>1887</v>
      </c>
      <c r="E41" s="49" t="s">
        <v>889</v>
      </c>
      <c r="F41" s="51">
        <v>0</v>
      </c>
      <c r="G41" s="51">
        <v>0</v>
      </c>
      <c r="H41" s="51">
        <f>960000+112000</f>
        <v>1072000</v>
      </c>
      <c r="I41" s="51">
        <f>1260000+140000</f>
        <v>1400000</v>
      </c>
      <c r="J41" s="51">
        <v>0</v>
      </c>
      <c r="K41" s="51">
        <v>960000</v>
      </c>
      <c r="L41" s="52" t="s">
        <v>1888</v>
      </c>
      <c r="M41" s="49" t="s">
        <v>1191</v>
      </c>
      <c r="N41" s="49" t="s">
        <v>1889</v>
      </c>
      <c r="O41" s="53" t="s">
        <v>75</v>
      </c>
      <c r="P41" s="53" t="s">
        <v>329</v>
      </c>
      <c r="Q41" s="49"/>
      <c r="R41" s="48">
        <v>42496</v>
      </c>
      <c r="S41" s="54" t="s">
        <v>1775</v>
      </c>
    </row>
    <row r="42" spans="1:19" ht="30" x14ac:dyDescent="0.25">
      <c r="A42" s="136">
        <v>42360</v>
      </c>
      <c r="B42" s="136">
        <v>42496</v>
      </c>
      <c r="C42" s="143" t="s">
        <v>1819</v>
      </c>
      <c r="D42" s="153" t="s">
        <v>1887</v>
      </c>
      <c r="E42" s="143" t="s">
        <v>889</v>
      </c>
      <c r="F42" s="155">
        <v>1742539</v>
      </c>
      <c r="G42" s="155">
        <v>2183476</v>
      </c>
      <c r="H42" s="155">
        <v>0</v>
      </c>
      <c r="I42" s="155">
        <v>0</v>
      </c>
      <c r="J42" s="155">
        <v>1742539</v>
      </c>
      <c r="K42" s="155">
        <v>-1072000</v>
      </c>
      <c r="L42" s="160" t="s">
        <v>1888</v>
      </c>
      <c r="M42" s="143" t="s">
        <v>1191</v>
      </c>
      <c r="N42" s="143" t="s">
        <v>1889</v>
      </c>
      <c r="O42" s="165" t="s">
        <v>75</v>
      </c>
      <c r="P42" s="165" t="s">
        <v>329</v>
      </c>
      <c r="Q42" s="143"/>
      <c r="R42" s="136">
        <v>42496</v>
      </c>
      <c r="S42" s="143" t="s">
        <v>1775</v>
      </c>
    </row>
    <row r="43" spans="1:19" ht="15.75" thickBot="1" x14ac:dyDescent="0.3">
      <c r="A43" s="82">
        <v>41662</v>
      </c>
      <c r="B43" s="82">
        <v>42326</v>
      </c>
      <c r="C43" s="83" t="s">
        <v>1781</v>
      </c>
      <c r="D43" s="84" t="s">
        <v>1890</v>
      </c>
      <c r="E43" s="83" t="s">
        <v>884</v>
      </c>
      <c r="F43" s="85">
        <v>156536</v>
      </c>
      <c r="G43" s="85">
        <v>195671</v>
      </c>
      <c r="H43" s="85">
        <v>0</v>
      </c>
      <c r="I43" s="85">
        <v>0</v>
      </c>
      <c r="J43" s="85">
        <v>156536</v>
      </c>
      <c r="K43" s="85">
        <v>-156536</v>
      </c>
      <c r="L43" s="86" t="s">
        <v>1891</v>
      </c>
      <c r="M43" s="83" t="s">
        <v>117</v>
      </c>
      <c r="N43" s="83" t="s">
        <v>1892</v>
      </c>
      <c r="O43" s="88" t="s">
        <v>1793</v>
      </c>
      <c r="P43" s="88" t="s">
        <v>1893</v>
      </c>
      <c r="Q43" s="83"/>
      <c r="R43" s="82">
        <v>42328</v>
      </c>
      <c r="S43" s="83" t="s">
        <v>1775</v>
      </c>
    </row>
    <row r="44" spans="1:19" ht="30" x14ac:dyDescent="0.25">
      <c r="A44" s="138">
        <v>42445</v>
      </c>
      <c r="B44" s="141">
        <v>42445</v>
      </c>
      <c r="C44" s="145" t="s">
        <v>653</v>
      </c>
      <c r="D44" s="151" t="s">
        <v>1894</v>
      </c>
      <c r="E44" s="145" t="s">
        <v>889</v>
      </c>
      <c r="F44" s="157">
        <v>0</v>
      </c>
      <c r="G44" s="157">
        <v>0</v>
      </c>
      <c r="H44" s="157">
        <v>222758</v>
      </c>
      <c r="I44" s="157">
        <v>278448</v>
      </c>
      <c r="J44" s="157">
        <v>0</v>
      </c>
      <c r="K44" s="157">
        <v>222758</v>
      </c>
      <c r="L44" s="163" t="s">
        <v>1891</v>
      </c>
      <c r="M44" s="145" t="s">
        <v>212</v>
      </c>
      <c r="N44" s="145" t="s">
        <v>1895</v>
      </c>
      <c r="O44" s="167" t="s">
        <v>1896</v>
      </c>
      <c r="P44" s="167" t="s">
        <v>1897</v>
      </c>
      <c r="Q44" s="145"/>
      <c r="R44" s="141">
        <v>42452</v>
      </c>
      <c r="S44" s="170" t="s">
        <v>1775</v>
      </c>
    </row>
    <row r="45" spans="1:19" x14ac:dyDescent="0.25">
      <c r="A45" s="89">
        <v>42384</v>
      </c>
      <c r="B45" s="90">
        <v>42384</v>
      </c>
      <c r="C45" s="91" t="s">
        <v>653</v>
      </c>
      <c r="D45" s="92" t="s">
        <v>1898</v>
      </c>
      <c r="E45" s="91" t="s">
        <v>889</v>
      </c>
      <c r="F45" s="93">
        <v>0</v>
      </c>
      <c r="G45" s="93">
        <v>0</v>
      </c>
      <c r="H45" s="93">
        <v>434500</v>
      </c>
      <c r="I45" s="93">
        <v>543200</v>
      </c>
      <c r="J45" s="93">
        <v>0</v>
      </c>
      <c r="K45" s="93">
        <v>434500</v>
      </c>
      <c r="L45" s="73" t="s">
        <v>1899</v>
      </c>
      <c r="M45" s="91" t="s">
        <v>72</v>
      </c>
      <c r="N45" s="91" t="s">
        <v>1900</v>
      </c>
      <c r="O45" s="94" t="s">
        <v>1901</v>
      </c>
      <c r="P45" s="94" t="s">
        <v>1902</v>
      </c>
      <c r="Q45" s="91" t="s">
        <v>1903</v>
      </c>
      <c r="R45" s="90">
        <v>42488</v>
      </c>
      <c r="S45" s="95" t="s">
        <v>1775</v>
      </c>
    </row>
    <row r="46" spans="1:19" ht="15.75" thickBot="1" x14ac:dyDescent="0.3">
      <c r="A46" s="96">
        <v>42384</v>
      </c>
      <c r="B46" s="97">
        <v>42474</v>
      </c>
      <c r="C46" s="98" t="s">
        <v>1755</v>
      </c>
      <c r="D46" s="99" t="s">
        <v>1898</v>
      </c>
      <c r="E46" s="98" t="s">
        <v>889</v>
      </c>
      <c r="F46" s="100">
        <v>0</v>
      </c>
      <c r="G46" s="100">
        <v>0</v>
      </c>
      <c r="H46" s="100">
        <v>388207</v>
      </c>
      <c r="I46" s="100">
        <v>485259</v>
      </c>
      <c r="J46" s="100">
        <v>0</v>
      </c>
      <c r="K46" s="100">
        <v>-46293</v>
      </c>
      <c r="L46" s="52" t="s">
        <v>1899</v>
      </c>
      <c r="M46" s="98" t="s">
        <v>72</v>
      </c>
      <c r="N46" s="98" t="s">
        <v>1900</v>
      </c>
      <c r="O46" s="101" t="s">
        <v>1901</v>
      </c>
      <c r="P46" s="101" t="s">
        <v>1902</v>
      </c>
      <c r="Q46" s="98"/>
      <c r="R46" s="97">
        <v>42488</v>
      </c>
      <c r="S46" s="102" t="s">
        <v>1775</v>
      </c>
    </row>
    <row r="47" spans="1:19" x14ac:dyDescent="0.25">
      <c r="A47" s="139">
        <v>42384</v>
      </c>
      <c r="B47" s="139">
        <v>42565</v>
      </c>
      <c r="C47" s="146" t="s">
        <v>1781</v>
      </c>
      <c r="D47" s="152" t="s">
        <v>1898</v>
      </c>
      <c r="E47" s="146" t="s">
        <v>889</v>
      </c>
      <c r="F47" s="158">
        <v>388207</v>
      </c>
      <c r="G47" s="158">
        <v>485259</v>
      </c>
      <c r="H47" s="158">
        <v>0</v>
      </c>
      <c r="I47" s="158">
        <v>0</v>
      </c>
      <c r="J47" s="158">
        <v>388207</v>
      </c>
      <c r="K47" s="158">
        <v>-388207</v>
      </c>
      <c r="L47" s="160" t="s">
        <v>1899</v>
      </c>
      <c r="M47" s="146" t="s">
        <v>72</v>
      </c>
      <c r="N47" s="146" t="s">
        <v>1900</v>
      </c>
      <c r="O47" s="168" t="s">
        <v>1901</v>
      </c>
      <c r="P47" s="168" t="s">
        <v>1902</v>
      </c>
      <c r="Q47" s="146"/>
      <c r="R47" s="139">
        <v>42566</v>
      </c>
      <c r="S47" s="146" t="s">
        <v>1775</v>
      </c>
    </row>
    <row r="48" spans="1:19" x14ac:dyDescent="0.25">
      <c r="A48" s="62">
        <v>42020</v>
      </c>
      <c r="B48" s="62">
        <v>42320</v>
      </c>
      <c r="C48" s="63" t="s">
        <v>1755</v>
      </c>
      <c r="D48" s="64" t="s">
        <v>1390</v>
      </c>
      <c r="E48" s="63" t="s">
        <v>892</v>
      </c>
      <c r="F48" s="65">
        <v>955000</v>
      </c>
      <c r="G48" s="65">
        <v>1194136</v>
      </c>
      <c r="H48" s="65">
        <v>0</v>
      </c>
      <c r="I48" s="65">
        <v>0</v>
      </c>
      <c r="J48" s="65">
        <f>F48-716800</f>
        <v>238200</v>
      </c>
      <c r="K48" s="65">
        <v>0</v>
      </c>
      <c r="L48" s="66" t="s">
        <v>821</v>
      </c>
      <c r="M48" s="63" t="s">
        <v>72</v>
      </c>
      <c r="N48" s="63" t="s">
        <v>1550</v>
      </c>
      <c r="O48" s="67" t="s">
        <v>1904</v>
      </c>
      <c r="P48" s="67" t="s">
        <v>1905</v>
      </c>
      <c r="Q48" s="63"/>
      <c r="R48" s="62">
        <v>42326</v>
      </c>
      <c r="S48" s="63" t="s">
        <v>1775</v>
      </c>
    </row>
    <row r="49" spans="1:19" x14ac:dyDescent="0.25">
      <c r="A49" s="82">
        <v>41439</v>
      </c>
      <c r="B49" s="82">
        <v>42403</v>
      </c>
      <c r="C49" s="83" t="s">
        <v>1781</v>
      </c>
      <c r="D49" s="84" t="s">
        <v>1906</v>
      </c>
      <c r="E49" s="83" t="s">
        <v>884</v>
      </c>
      <c r="F49" s="85">
        <v>24000</v>
      </c>
      <c r="G49" s="85">
        <v>66049</v>
      </c>
      <c r="H49" s="85">
        <v>0</v>
      </c>
      <c r="I49" s="85">
        <v>0</v>
      </c>
      <c r="J49" s="85">
        <v>24000</v>
      </c>
      <c r="K49" s="85">
        <v>-24000</v>
      </c>
      <c r="L49" s="86" t="s">
        <v>821</v>
      </c>
      <c r="M49" s="83" t="s">
        <v>117</v>
      </c>
      <c r="N49" s="83" t="s">
        <v>1907</v>
      </c>
      <c r="O49" s="88" t="s">
        <v>1904</v>
      </c>
      <c r="P49" s="88" t="s">
        <v>1908</v>
      </c>
      <c r="Q49" s="83"/>
      <c r="R49" s="82">
        <v>42408</v>
      </c>
      <c r="S49" s="83" t="s">
        <v>1775</v>
      </c>
    </row>
    <row r="50" spans="1:19" ht="15.75" thickBot="1" x14ac:dyDescent="0.3">
      <c r="A50" s="103">
        <v>41759</v>
      </c>
      <c r="B50" s="104">
        <v>42403</v>
      </c>
      <c r="C50" s="105" t="s">
        <v>1781</v>
      </c>
      <c r="D50" s="106" t="s">
        <v>1909</v>
      </c>
      <c r="E50" s="105" t="s">
        <v>884</v>
      </c>
      <c r="F50" s="107">
        <v>51000</v>
      </c>
      <c r="G50" s="107">
        <v>68122</v>
      </c>
      <c r="H50" s="107">
        <v>0</v>
      </c>
      <c r="I50" s="107">
        <v>0</v>
      </c>
      <c r="J50" s="107">
        <v>51000</v>
      </c>
      <c r="K50" s="107">
        <v>-51000</v>
      </c>
      <c r="L50" s="108" t="s">
        <v>821</v>
      </c>
      <c r="M50" s="105" t="s">
        <v>212</v>
      </c>
      <c r="N50" s="105" t="s">
        <v>1910</v>
      </c>
      <c r="O50" s="88" t="s">
        <v>1904</v>
      </c>
      <c r="P50" s="88" t="s">
        <v>1908</v>
      </c>
      <c r="Q50" s="105"/>
      <c r="R50" s="104">
        <v>42408</v>
      </c>
      <c r="S50" s="109" t="s">
        <v>1775</v>
      </c>
    </row>
    <row r="51" spans="1:19" x14ac:dyDescent="0.25">
      <c r="A51" s="138">
        <v>42020</v>
      </c>
      <c r="B51" s="141">
        <v>42318</v>
      </c>
      <c r="C51" s="145" t="s">
        <v>1755</v>
      </c>
      <c r="D51" s="151" t="s">
        <v>1390</v>
      </c>
      <c r="E51" s="145" t="s">
        <v>892</v>
      </c>
      <c r="F51" s="157">
        <v>955000</v>
      </c>
      <c r="G51" s="157">
        <v>1194136</v>
      </c>
      <c r="H51" s="157">
        <v>0</v>
      </c>
      <c r="I51" s="157">
        <v>0</v>
      </c>
      <c r="J51" s="157">
        <v>238200</v>
      </c>
      <c r="K51" s="157">
        <v>0</v>
      </c>
      <c r="L51" s="163" t="s">
        <v>821</v>
      </c>
      <c r="M51" s="145" t="s">
        <v>1191</v>
      </c>
      <c r="N51" s="145" t="s">
        <v>1550</v>
      </c>
      <c r="O51" s="167" t="s">
        <v>1904</v>
      </c>
      <c r="P51" s="167" t="s">
        <v>1908</v>
      </c>
      <c r="Q51" s="145"/>
      <c r="R51" s="141">
        <v>42508</v>
      </c>
      <c r="S51" s="170" t="s">
        <v>1775</v>
      </c>
    </row>
    <row r="52" spans="1:19" ht="30.75" thickBot="1" x14ac:dyDescent="0.3">
      <c r="A52" s="110">
        <v>42075</v>
      </c>
      <c r="B52" s="111">
        <v>42502</v>
      </c>
      <c r="C52" s="112" t="s">
        <v>1755</v>
      </c>
      <c r="D52" s="113" t="s">
        <v>1911</v>
      </c>
      <c r="E52" s="112" t="s">
        <v>889</v>
      </c>
      <c r="F52" s="114">
        <v>0</v>
      </c>
      <c r="G52" s="114">
        <v>0</v>
      </c>
      <c r="H52" s="114">
        <v>364149</v>
      </c>
      <c r="I52" s="114">
        <v>455186</v>
      </c>
      <c r="J52" s="114">
        <v>0</v>
      </c>
      <c r="K52" s="114">
        <v>-115851</v>
      </c>
      <c r="L52" s="115" t="s">
        <v>1912</v>
      </c>
      <c r="M52" s="112" t="s">
        <v>72</v>
      </c>
      <c r="N52" s="112" t="s">
        <v>1913</v>
      </c>
      <c r="O52" s="116" t="s">
        <v>1914</v>
      </c>
      <c r="P52" s="116" t="s">
        <v>1915</v>
      </c>
      <c r="Q52" s="112"/>
      <c r="R52" s="111">
        <v>42453</v>
      </c>
      <c r="S52" s="117" t="s">
        <v>1775</v>
      </c>
    </row>
    <row r="53" spans="1:19" ht="30" x14ac:dyDescent="0.25">
      <c r="A53" s="137">
        <v>42075</v>
      </c>
      <c r="B53" s="137">
        <v>42502</v>
      </c>
      <c r="C53" s="144" t="s">
        <v>1781</v>
      </c>
      <c r="D53" s="150" t="s">
        <v>1911</v>
      </c>
      <c r="E53" s="144" t="s">
        <v>889</v>
      </c>
      <c r="F53" s="156">
        <v>364149</v>
      </c>
      <c r="G53" s="156">
        <v>455186</v>
      </c>
      <c r="H53" s="156">
        <v>0</v>
      </c>
      <c r="I53" s="156">
        <v>0</v>
      </c>
      <c r="J53" s="156">
        <v>364149</v>
      </c>
      <c r="K53" s="156">
        <v>-364149</v>
      </c>
      <c r="L53" s="162" t="s">
        <v>1912</v>
      </c>
      <c r="M53" s="144" t="s">
        <v>72</v>
      </c>
      <c r="N53" s="144" t="s">
        <v>1913</v>
      </c>
      <c r="O53" s="166" t="s">
        <v>1914</v>
      </c>
      <c r="P53" s="166" t="s">
        <v>1915</v>
      </c>
      <c r="Q53" s="144"/>
      <c r="R53" s="137">
        <v>42494</v>
      </c>
      <c r="S53" s="144" t="s">
        <v>1775</v>
      </c>
    </row>
    <row r="54" spans="1:19" x14ac:dyDescent="0.25">
      <c r="A54" s="27">
        <v>41542</v>
      </c>
      <c r="B54" s="27">
        <v>42467</v>
      </c>
      <c r="C54" s="27" t="s">
        <v>1754</v>
      </c>
      <c r="D54" s="29" t="s">
        <v>1916</v>
      </c>
      <c r="E54" s="28" t="s">
        <v>884</v>
      </c>
      <c r="F54" s="30">
        <v>45573.599999999999</v>
      </c>
      <c r="G54" s="30">
        <v>56967.01</v>
      </c>
      <c r="H54" s="30">
        <v>0</v>
      </c>
      <c r="I54" s="30">
        <v>0</v>
      </c>
      <c r="J54" s="30">
        <v>0</v>
      </c>
      <c r="K54" s="30">
        <v>0</v>
      </c>
      <c r="L54" s="31" t="s">
        <v>776</v>
      </c>
      <c r="M54" s="28" t="s">
        <v>212</v>
      </c>
      <c r="N54" s="28" t="s">
        <v>1917</v>
      </c>
      <c r="O54" s="32" t="s">
        <v>1918</v>
      </c>
      <c r="P54" s="32" t="s">
        <v>1919</v>
      </c>
      <c r="Q54" s="28"/>
      <c r="R54" s="27">
        <v>42488</v>
      </c>
      <c r="S54" s="28" t="s">
        <v>1775</v>
      </c>
    </row>
    <row r="55" spans="1:19" x14ac:dyDescent="0.25">
      <c r="A55" s="62">
        <v>40038</v>
      </c>
      <c r="B55" s="62">
        <v>42303</v>
      </c>
      <c r="C55" s="62" t="s">
        <v>1755</v>
      </c>
      <c r="D55" s="64">
        <v>9003179</v>
      </c>
      <c r="E55" s="63" t="s">
        <v>890</v>
      </c>
      <c r="F55" s="65">
        <v>0</v>
      </c>
      <c r="G55" s="65">
        <v>0</v>
      </c>
      <c r="H55" s="65">
        <v>1335579</v>
      </c>
      <c r="I55" s="65">
        <v>1669474</v>
      </c>
      <c r="J55" s="65">
        <v>0</v>
      </c>
      <c r="K55" s="65">
        <f>H55-1047000</f>
        <v>288579</v>
      </c>
      <c r="L55" s="66" t="s">
        <v>776</v>
      </c>
      <c r="M55" s="63" t="s">
        <v>72</v>
      </c>
      <c r="N55" s="63" t="s">
        <v>1495</v>
      </c>
      <c r="O55" s="67" t="s">
        <v>1918</v>
      </c>
      <c r="P55" s="67" t="s">
        <v>1919</v>
      </c>
      <c r="Q55" s="63"/>
      <c r="R55" s="62">
        <v>42325</v>
      </c>
      <c r="S55" s="63" t="s">
        <v>1775</v>
      </c>
    </row>
    <row r="56" spans="1:19" x14ac:dyDescent="0.25">
      <c r="A56" s="62">
        <v>40716</v>
      </c>
      <c r="B56" s="62">
        <v>42514</v>
      </c>
      <c r="C56" s="62" t="s">
        <v>1754</v>
      </c>
      <c r="D56" s="64" t="s">
        <v>1920</v>
      </c>
      <c r="E56" s="63" t="s">
        <v>1921</v>
      </c>
      <c r="F56" s="65">
        <v>652411.17000000004</v>
      </c>
      <c r="G56" s="65">
        <v>1001292.91</v>
      </c>
      <c r="H56" s="65">
        <v>0</v>
      </c>
      <c r="I56" s="65">
        <v>0</v>
      </c>
      <c r="J56" s="65">
        <v>-16568.2</v>
      </c>
      <c r="K56" s="65">
        <v>0</v>
      </c>
      <c r="L56" s="66" t="s">
        <v>1922</v>
      </c>
      <c r="M56" s="63" t="s">
        <v>72</v>
      </c>
      <c r="N56" s="63" t="s">
        <v>1923</v>
      </c>
      <c r="O56" s="67" t="s">
        <v>1904</v>
      </c>
      <c r="P56" s="67" t="s">
        <v>1924</v>
      </c>
      <c r="Q56" s="63"/>
      <c r="R56" s="62">
        <v>42536</v>
      </c>
      <c r="S56" s="63" t="s">
        <v>1775</v>
      </c>
    </row>
    <row r="57" spans="1:19" x14ac:dyDescent="0.25">
      <c r="A57" s="55">
        <v>41997</v>
      </c>
      <c r="B57" s="55">
        <v>42404</v>
      </c>
      <c r="C57" s="56" t="s">
        <v>1781</v>
      </c>
      <c r="D57" s="57" t="s">
        <v>1925</v>
      </c>
      <c r="E57" s="56" t="s">
        <v>889</v>
      </c>
      <c r="F57" s="58">
        <v>969900</v>
      </c>
      <c r="G57" s="58">
        <v>1216693</v>
      </c>
      <c r="H57" s="58">
        <v>0</v>
      </c>
      <c r="I57" s="58">
        <v>0</v>
      </c>
      <c r="J57" s="58">
        <v>969900</v>
      </c>
      <c r="K57" s="58">
        <v>-969900</v>
      </c>
      <c r="L57" s="59" t="s">
        <v>1926</v>
      </c>
      <c r="M57" s="56" t="s">
        <v>1191</v>
      </c>
      <c r="N57" s="56" t="s">
        <v>1927</v>
      </c>
      <c r="O57" s="60" t="s">
        <v>1904</v>
      </c>
      <c r="P57" s="60" t="s">
        <v>1928</v>
      </c>
      <c r="Q57" s="56"/>
      <c r="R57" s="55">
        <v>42408</v>
      </c>
      <c r="S57" s="56" t="s">
        <v>1775</v>
      </c>
    </row>
    <row r="58" spans="1:19" x14ac:dyDescent="0.25">
      <c r="A58" s="27">
        <v>42179</v>
      </c>
      <c r="B58" s="27">
        <v>42425</v>
      </c>
      <c r="C58" s="28" t="s">
        <v>1819</v>
      </c>
      <c r="D58" s="29" t="s">
        <v>1343</v>
      </c>
      <c r="E58" s="28" t="s">
        <v>889</v>
      </c>
      <c r="F58" s="30">
        <v>581475</v>
      </c>
      <c r="G58" s="30">
        <v>733809</v>
      </c>
      <c r="H58" s="30">
        <v>0</v>
      </c>
      <c r="I58" s="30">
        <v>0</v>
      </c>
      <c r="J58" s="30">
        <v>581475</v>
      </c>
      <c r="K58" s="30">
        <v>-400000</v>
      </c>
      <c r="L58" s="31" t="s">
        <v>783</v>
      </c>
      <c r="M58" s="28" t="s">
        <v>1191</v>
      </c>
      <c r="N58" s="28" t="s">
        <v>1503</v>
      </c>
      <c r="O58" s="32" t="s">
        <v>1929</v>
      </c>
      <c r="P58" s="32" t="s">
        <v>1930</v>
      </c>
      <c r="Q58" s="28"/>
      <c r="R58" s="27">
        <v>42453</v>
      </c>
      <c r="S58" s="28" t="s">
        <v>1775</v>
      </c>
    </row>
    <row r="59" spans="1:19" ht="30.75" thickBot="1" x14ac:dyDescent="0.3">
      <c r="A59" s="33">
        <v>41876</v>
      </c>
      <c r="B59" s="33">
        <v>42403</v>
      </c>
      <c r="C59" s="34" t="s">
        <v>1781</v>
      </c>
      <c r="D59" s="35" t="s">
        <v>1931</v>
      </c>
      <c r="E59" s="34" t="s">
        <v>884</v>
      </c>
      <c r="F59" s="36">
        <v>30905</v>
      </c>
      <c r="G59" s="36">
        <v>38632</v>
      </c>
      <c r="H59" s="36">
        <v>0</v>
      </c>
      <c r="I59" s="36">
        <v>0</v>
      </c>
      <c r="J59" s="36">
        <v>30905</v>
      </c>
      <c r="K59" s="36">
        <v>-30905</v>
      </c>
      <c r="L59" s="37" t="s">
        <v>1932</v>
      </c>
      <c r="M59" s="34" t="s">
        <v>212</v>
      </c>
      <c r="N59" s="34" t="s">
        <v>1933</v>
      </c>
      <c r="O59" s="38" t="s">
        <v>1934</v>
      </c>
      <c r="P59" s="38" t="s">
        <v>1935</v>
      </c>
      <c r="Q59" s="34"/>
      <c r="R59" s="33">
        <v>42408</v>
      </c>
      <c r="S59" s="34" t="s">
        <v>1775</v>
      </c>
    </row>
    <row r="60" spans="1:19" x14ac:dyDescent="0.25">
      <c r="A60" s="135">
        <v>41613</v>
      </c>
      <c r="B60" s="140">
        <v>42411</v>
      </c>
      <c r="C60" s="142" t="s">
        <v>1754</v>
      </c>
      <c r="D60" s="147" t="s">
        <v>1936</v>
      </c>
      <c r="E60" s="142" t="s">
        <v>890</v>
      </c>
      <c r="F60" s="154">
        <v>5656.8</v>
      </c>
      <c r="G60" s="154">
        <v>7631</v>
      </c>
      <c r="H60" s="154">
        <v>0</v>
      </c>
      <c r="I60" s="154">
        <v>0</v>
      </c>
      <c r="J60" s="154">
        <v>-58343</v>
      </c>
      <c r="K60" s="154">
        <v>0</v>
      </c>
      <c r="L60" s="159" t="s">
        <v>1937</v>
      </c>
      <c r="M60" s="142" t="s">
        <v>73</v>
      </c>
      <c r="N60" s="142" t="s">
        <v>1938</v>
      </c>
      <c r="O60" s="164"/>
      <c r="P60" s="164" t="s">
        <v>1939</v>
      </c>
      <c r="Q60" s="142"/>
      <c r="R60" s="140">
        <v>42453</v>
      </c>
      <c r="S60" s="169" t="s">
        <v>1775</v>
      </c>
    </row>
    <row r="61" spans="1:19" ht="15.75" thickBot="1" x14ac:dyDescent="0.3">
      <c r="A61" s="118">
        <v>42265</v>
      </c>
      <c r="B61" s="119">
        <v>42360</v>
      </c>
      <c r="C61" s="120" t="s">
        <v>1755</v>
      </c>
      <c r="D61" s="121" t="s">
        <v>1395</v>
      </c>
      <c r="E61" s="120" t="s">
        <v>892</v>
      </c>
      <c r="F61" s="122">
        <v>0</v>
      </c>
      <c r="G61" s="122">
        <v>0</v>
      </c>
      <c r="H61" s="122">
        <v>1449051</v>
      </c>
      <c r="I61" s="122">
        <v>1899130</v>
      </c>
      <c r="J61" s="122">
        <v>0</v>
      </c>
      <c r="K61" s="122">
        <v>853051</v>
      </c>
      <c r="L61" s="123" t="s">
        <v>865</v>
      </c>
      <c r="M61" s="120" t="s">
        <v>1191</v>
      </c>
      <c r="N61" s="120" t="s">
        <v>1555</v>
      </c>
      <c r="O61" s="124"/>
      <c r="P61" s="124" t="s">
        <v>1940</v>
      </c>
      <c r="Q61" s="120"/>
      <c r="R61" s="119">
        <v>42374</v>
      </c>
      <c r="S61" s="125" t="s">
        <v>1775</v>
      </c>
    </row>
    <row r="62" spans="1:19" x14ac:dyDescent="0.25">
      <c r="A62" s="39">
        <v>42265</v>
      </c>
      <c r="B62" s="40">
        <v>42446</v>
      </c>
      <c r="C62" s="41" t="s">
        <v>1781</v>
      </c>
      <c r="D62" s="42" t="s">
        <v>1395</v>
      </c>
      <c r="E62" s="41" t="s">
        <v>889</v>
      </c>
      <c r="F62" s="43">
        <v>1449051</v>
      </c>
      <c r="G62" s="43">
        <v>1894130</v>
      </c>
      <c r="H62" s="43">
        <v>0</v>
      </c>
      <c r="I62" s="43">
        <v>0</v>
      </c>
      <c r="J62" s="43">
        <v>1449051</v>
      </c>
      <c r="K62" s="43">
        <v>-1449051</v>
      </c>
      <c r="L62" s="44" t="s">
        <v>865</v>
      </c>
      <c r="M62" s="41" t="s">
        <v>1191</v>
      </c>
      <c r="N62" s="41" t="s">
        <v>1555</v>
      </c>
      <c r="O62" s="45"/>
      <c r="P62" s="45" t="s">
        <v>1940</v>
      </c>
      <c r="Q62" s="41"/>
      <c r="R62" s="40">
        <v>42447</v>
      </c>
      <c r="S62" s="46" t="s">
        <v>1775</v>
      </c>
    </row>
    <row r="63" spans="1:19" ht="30" x14ac:dyDescent="0.25">
      <c r="A63" s="68">
        <v>42318</v>
      </c>
      <c r="B63" s="69">
        <v>42318</v>
      </c>
      <c r="C63" s="70" t="s">
        <v>653</v>
      </c>
      <c r="D63" s="71" t="s">
        <v>1941</v>
      </c>
      <c r="E63" s="70" t="s">
        <v>889</v>
      </c>
      <c r="F63" s="72">
        <v>0</v>
      </c>
      <c r="G63" s="72">
        <v>0</v>
      </c>
      <c r="H63" s="72">
        <v>604000</v>
      </c>
      <c r="I63" s="72">
        <v>765000</v>
      </c>
      <c r="J63" s="72">
        <v>0</v>
      </c>
      <c r="K63" s="72">
        <v>604000</v>
      </c>
      <c r="L63" s="73" t="s">
        <v>367</v>
      </c>
      <c r="M63" s="70" t="s">
        <v>1191</v>
      </c>
      <c r="N63" s="70" t="s">
        <v>1942</v>
      </c>
      <c r="O63" s="74" t="s">
        <v>1209</v>
      </c>
      <c r="P63" s="74" t="s">
        <v>1943</v>
      </c>
      <c r="Q63" s="70"/>
      <c r="R63" s="69">
        <v>42326</v>
      </c>
      <c r="S63" s="75" t="s">
        <v>1775</v>
      </c>
    </row>
    <row r="64" spans="1:19" ht="30.75" thickBot="1" x14ac:dyDescent="0.3">
      <c r="A64" s="47">
        <v>42318</v>
      </c>
      <c r="B64" s="48">
        <v>42437</v>
      </c>
      <c r="C64" s="49" t="s">
        <v>1755</v>
      </c>
      <c r="D64" s="50" t="s">
        <v>1941</v>
      </c>
      <c r="E64" s="49" t="s">
        <v>889</v>
      </c>
      <c r="F64" s="51">
        <v>0</v>
      </c>
      <c r="G64" s="51">
        <v>0</v>
      </c>
      <c r="H64" s="51">
        <v>1008815</v>
      </c>
      <c r="I64" s="51">
        <v>1270910</v>
      </c>
      <c r="J64" s="51">
        <v>0</v>
      </c>
      <c r="K64" s="51">
        <v>404815</v>
      </c>
      <c r="L64" s="52" t="s">
        <v>367</v>
      </c>
      <c r="M64" s="49" t="s">
        <v>1191</v>
      </c>
      <c r="N64" s="49" t="s">
        <v>1942</v>
      </c>
      <c r="O64" s="53" t="s">
        <v>1209</v>
      </c>
      <c r="P64" s="53" t="s">
        <v>1943</v>
      </c>
      <c r="Q64" s="49"/>
      <c r="R64" s="48">
        <v>42453</v>
      </c>
      <c r="S64" s="54" t="s">
        <v>1775</v>
      </c>
    </row>
    <row r="65" spans="1:20" ht="30" x14ac:dyDescent="0.25">
      <c r="A65" s="136">
        <v>42318</v>
      </c>
      <c r="B65" s="136">
        <v>42495</v>
      </c>
      <c r="C65" s="143" t="s">
        <v>1781</v>
      </c>
      <c r="D65" s="148" t="s">
        <v>1941</v>
      </c>
      <c r="E65" s="143" t="s">
        <v>889</v>
      </c>
      <c r="F65" s="155">
        <v>1008815</v>
      </c>
      <c r="G65" s="155">
        <v>1270910</v>
      </c>
      <c r="H65" s="155">
        <v>0</v>
      </c>
      <c r="I65" s="155">
        <v>0</v>
      </c>
      <c r="J65" s="155">
        <v>1008815</v>
      </c>
      <c r="K65" s="155">
        <v>-1008815</v>
      </c>
      <c r="L65" s="160" t="s">
        <v>367</v>
      </c>
      <c r="M65" s="143" t="s">
        <v>1191</v>
      </c>
      <c r="N65" s="143" t="s">
        <v>1942</v>
      </c>
      <c r="O65" s="165" t="s">
        <v>1209</v>
      </c>
      <c r="P65" s="165" t="s">
        <v>1943</v>
      </c>
      <c r="Q65" s="143"/>
      <c r="R65" s="136">
        <v>42496</v>
      </c>
      <c r="S65" s="143" t="s">
        <v>1775</v>
      </c>
    </row>
    <row r="66" spans="1:20" ht="30" x14ac:dyDescent="0.25">
      <c r="A66" s="55">
        <v>42488</v>
      </c>
      <c r="B66" s="55">
        <v>42488</v>
      </c>
      <c r="C66" s="56" t="s">
        <v>653</v>
      </c>
      <c r="D66" s="57" t="s">
        <v>1944</v>
      </c>
      <c r="E66" s="56" t="s">
        <v>889</v>
      </c>
      <c r="F66" s="58">
        <v>0</v>
      </c>
      <c r="G66" s="58">
        <v>0</v>
      </c>
      <c r="H66" s="58">
        <v>800000</v>
      </c>
      <c r="I66" s="58">
        <v>1000000</v>
      </c>
      <c r="J66" s="58">
        <v>0</v>
      </c>
      <c r="K66" s="58">
        <v>800000</v>
      </c>
      <c r="L66" s="59" t="s">
        <v>367</v>
      </c>
      <c r="M66" s="56" t="s">
        <v>1191</v>
      </c>
      <c r="N66" s="56" t="s">
        <v>1945</v>
      </c>
      <c r="O66" s="60" t="s">
        <v>75</v>
      </c>
      <c r="P66" s="60" t="s">
        <v>1943</v>
      </c>
      <c r="Q66" s="56"/>
      <c r="R66" s="55">
        <v>42657</v>
      </c>
      <c r="S66" s="56" t="s">
        <v>1775</v>
      </c>
    </row>
    <row r="67" spans="1:20" ht="30.75" thickBot="1" x14ac:dyDescent="0.3">
      <c r="A67" s="82">
        <v>42488</v>
      </c>
      <c r="B67" s="82">
        <v>42635</v>
      </c>
      <c r="C67" s="83" t="s">
        <v>1819</v>
      </c>
      <c r="D67" s="84" t="s">
        <v>1944</v>
      </c>
      <c r="E67" s="83" t="s">
        <v>889</v>
      </c>
      <c r="F67" s="85">
        <v>1259784</v>
      </c>
      <c r="G67" s="85">
        <v>1599317</v>
      </c>
      <c r="H67" s="85">
        <v>0</v>
      </c>
      <c r="I67" s="85">
        <v>0</v>
      </c>
      <c r="J67" s="85">
        <v>1259784</v>
      </c>
      <c r="K67" s="85">
        <v>-800000</v>
      </c>
      <c r="L67" s="86" t="s">
        <v>367</v>
      </c>
      <c r="M67" s="83" t="s">
        <v>1191</v>
      </c>
      <c r="N67" s="83" t="s">
        <v>1945</v>
      </c>
      <c r="O67" s="88" t="s">
        <v>75</v>
      </c>
      <c r="P67" s="88" t="s">
        <v>1943</v>
      </c>
      <c r="Q67" s="83"/>
      <c r="R67" s="82">
        <v>42657</v>
      </c>
      <c r="S67" s="83" t="s">
        <v>1775</v>
      </c>
    </row>
    <row r="68" spans="1:20" x14ac:dyDescent="0.25">
      <c r="A68" s="135">
        <v>42328</v>
      </c>
      <c r="B68" s="140">
        <v>42328</v>
      </c>
      <c r="C68" s="142" t="s">
        <v>653</v>
      </c>
      <c r="D68" s="147" t="s">
        <v>1946</v>
      </c>
      <c r="E68" s="142" t="s">
        <v>889</v>
      </c>
      <c r="F68" s="154">
        <v>0</v>
      </c>
      <c r="G68" s="154">
        <v>0</v>
      </c>
      <c r="H68" s="154">
        <v>80000</v>
      </c>
      <c r="I68" s="154">
        <v>115000</v>
      </c>
      <c r="J68" s="154">
        <v>0</v>
      </c>
      <c r="K68" s="154">
        <v>80000</v>
      </c>
      <c r="L68" s="161" t="s">
        <v>1947</v>
      </c>
      <c r="M68" s="142" t="s">
        <v>73</v>
      </c>
      <c r="N68" s="142" t="s">
        <v>1948</v>
      </c>
      <c r="O68" s="164" t="s">
        <v>73</v>
      </c>
      <c r="P68" s="164" t="s">
        <v>1949</v>
      </c>
      <c r="Q68" s="142"/>
      <c r="R68" s="140">
        <v>42328</v>
      </c>
      <c r="S68" s="169" t="s">
        <v>1775</v>
      </c>
    </row>
    <row r="69" spans="1:20" ht="15.75" thickBot="1" x14ac:dyDescent="0.3">
      <c r="A69" s="47">
        <v>42118</v>
      </c>
      <c r="B69" s="48">
        <v>42305</v>
      </c>
      <c r="C69" s="49" t="s">
        <v>1755</v>
      </c>
      <c r="D69" s="50">
        <v>4003375</v>
      </c>
      <c r="E69" s="49" t="s">
        <v>889</v>
      </c>
      <c r="F69" s="51">
        <v>0</v>
      </c>
      <c r="G69" s="51">
        <v>0</v>
      </c>
      <c r="H69" s="51">
        <v>549266</v>
      </c>
      <c r="I69" s="51">
        <v>686582</v>
      </c>
      <c r="J69" s="51">
        <v>0</v>
      </c>
      <c r="K69" s="51">
        <f>H69-576240</f>
        <v>-26974</v>
      </c>
      <c r="L69" s="52" t="s">
        <v>1950</v>
      </c>
      <c r="M69" s="49" t="s">
        <v>72</v>
      </c>
      <c r="N69" s="49" t="s">
        <v>1951</v>
      </c>
      <c r="O69" s="53" t="s">
        <v>1934</v>
      </c>
      <c r="P69" s="53" t="s">
        <v>1952</v>
      </c>
      <c r="Q69" s="49"/>
      <c r="R69" s="48">
        <v>42325</v>
      </c>
      <c r="S69" s="54" t="s">
        <v>1775</v>
      </c>
      <c r="T69" s="4"/>
    </row>
    <row r="70" spans="1:20" x14ac:dyDescent="0.25">
      <c r="A70" s="136">
        <v>42118</v>
      </c>
      <c r="B70" s="136">
        <v>42403</v>
      </c>
      <c r="C70" s="143" t="s">
        <v>1781</v>
      </c>
      <c r="D70" s="148" t="s">
        <v>1953</v>
      </c>
      <c r="E70" s="143" t="s">
        <v>889</v>
      </c>
      <c r="F70" s="155">
        <v>549266</v>
      </c>
      <c r="G70" s="155">
        <v>686582</v>
      </c>
      <c r="H70" s="155">
        <v>0</v>
      </c>
      <c r="I70" s="155">
        <v>0</v>
      </c>
      <c r="J70" s="155">
        <v>549266</v>
      </c>
      <c r="K70" s="155">
        <v>-549266</v>
      </c>
      <c r="L70" s="160" t="s">
        <v>1950</v>
      </c>
      <c r="M70" s="143" t="s">
        <v>72</v>
      </c>
      <c r="N70" s="143" t="s">
        <v>1951</v>
      </c>
      <c r="O70" s="165" t="s">
        <v>1934</v>
      </c>
      <c r="P70" s="165" t="s">
        <v>1952</v>
      </c>
      <c r="Q70" s="143"/>
      <c r="R70" s="136">
        <v>42408</v>
      </c>
      <c r="S70" s="143" t="s">
        <v>1775</v>
      </c>
      <c r="T70" s="4"/>
    </row>
    <row r="71" spans="1:20" x14ac:dyDescent="0.25">
      <c r="A71" s="62">
        <v>42551</v>
      </c>
      <c r="B71" s="62">
        <v>42551</v>
      </c>
      <c r="C71" s="63" t="s">
        <v>653</v>
      </c>
      <c r="D71" s="149" t="s">
        <v>1954</v>
      </c>
      <c r="E71" s="63" t="s">
        <v>889</v>
      </c>
      <c r="F71" s="65">
        <v>0</v>
      </c>
      <c r="G71" s="65">
        <v>0</v>
      </c>
      <c r="H71" s="65">
        <v>8852000</v>
      </c>
      <c r="I71" s="65">
        <v>11065000</v>
      </c>
      <c r="J71" s="65">
        <v>0</v>
      </c>
      <c r="K71" s="65">
        <v>8852000</v>
      </c>
      <c r="L71" s="66" t="s">
        <v>372</v>
      </c>
      <c r="M71" s="63" t="s">
        <v>1955</v>
      </c>
      <c r="N71" s="63" t="s">
        <v>1956</v>
      </c>
      <c r="O71" s="67" t="s">
        <v>1957</v>
      </c>
      <c r="P71" s="67"/>
      <c r="Q71" s="63" t="s">
        <v>1958</v>
      </c>
      <c r="R71" s="62"/>
      <c r="S71" s="63" t="s">
        <v>1775</v>
      </c>
      <c r="T71" s="4"/>
    </row>
    <row r="72" spans="1:20" x14ac:dyDescent="0.25">
      <c r="A72" s="55">
        <v>39874</v>
      </c>
      <c r="B72" s="55">
        <v>42492</v>
      </c>
      <c r="C72" s="56" t="s">
        <v>1754</v>
      </c>
      <c r="D72" s="57" t="s">
        <v>1959</v>
      </c>
      <c r="E72" s="56" t="s">
        <v>890</v>
      </c>
      <c r="F72" s="58">
        <v>55834.6</v>
      </c>
      <c r="G72" s="58">
        <v>69793.25</v>
      </c>
      <c r="H72" s="58">
        <v>0</v>
      </c>
      <c r="I72" s="58">
        <v>0</v>
      </c>
      <c r="J72" s="58">
        <v>0</v>
      </c>
      <c r="K72" s="58">
        <v>0</v>
      </c>
      <c r="L72" s="59" t="s">
        <v>1960</v>
      </c>
      <c r="M72" s="56" t="s">
        <v>117</v>
      </c>
      <c r="N72" s="56" t="s">
        <v>1961</v>
      </c>
      <c r="O72" s="60"/>
      <c r="P72" s="60"/>
      <c r="Q72" s="56"/>
      <c r="R72" s="55">
        <v>42508</v>
      </c>
      <c r="S72" s="56" t="s">
        <v>1775</v>
      </c>
      <c r="T72" s="4"/>
    </row>
    <row r="73" spans="1:20" x14ac:dyDescent="0.25">
      <c r="A73" s="55">
        <v>42265</v>
      </c>
      <c r="B73" s="55">
        <v>42569</v>
      </c>
      <c r="C73" s="56" t="s">
        <v>1781</v>
      </c>
      <c r="D73" s="57" t="s">
        <v>1962</v>
      </c>
      <c r="E73" s="56" t="s">
        <v>889</v>
      </c>
      <c r="F73" s="58">
        <v>1499920</v>
      </c>
      <c r="G73" s="58">
        <v>1874900</v>
      </c>
      <c r="H73" s="58">
        <v>0</v>
      </c>
      <c r="I73" s="58">
        <v>0</v>
      </c>
      <c r="J73" s="58">
        <v>1499920</v>
      </c>
      <c r="K73" s="58">
        <v>-1499920</v>
      </c>
      <c r="L73" s="59" t="s">
        <v>1960</v>
      </c>
      <c r="M73" s="56" t="s">
        <v>1191</v>
      </c>
      <c r="N73" s="56" t="s">
        <v>1963</v>
      </c>
      <c r="O73" s="60" t="s">
        <v>1918</v>
      </c>
      <c r="P73" s="60" t="s">
        <v>940</v>
      </c>
      <c r="Q73" s="56"/>
      <c r="R73" s="55">
        <v>42598</v>
      </c>
      <c r="S73" s="56" t="s">
        <v>1775</v>
      </c>
      <c r="T73" s="4"/>
    </row>
    <row r="74" spans="1:20" x14ac:dyDescent="0.25">
      <c r="A74" s="27">
        <v>42265</v>
      </c>
      <c r="B74" s="27">
        <v>42474</v>
      </c>
      <c r="C74" s="28" t="s">
        <v>1755</v>
      </c>
      <c r="D74" s="29" t="s">
        <v>1962</v>
      </c>
      <c r="E74" s="28" t="s">
        <v>889</v>
      </c>
      <c r="F74" s="30">
        <v>0</v>
      </c>
      <c r="G74" s="30">
        <v>0</v>
      </c>
      <c r="H74" s="30">
        <v>1499920</v>
      </c>
      <c r="I74" s="30">
        <v>1874900</v>
      </c>
      <c r="J74" s="30">
        <v>0</v>
      </c>
      <c r="K74" s="30">
        <f>H74-1540000</f>
        <v>-40080</v>
      </c>
      <c r="L74" s="31" t="s">
        <v>1960</v>
      </c>
      <c r="M74" s="28" t="s">
        <v>72</v>
      </c>
      <c r="N74" s="28" t="s">
        <v>1963</v>
      </c>
      <c r="O74" s="32" t="s">
        <v>1918</v>
      </c>
      <c r="P74" s="32" t="s">
        <v>940</v>
      </c>
      <c r="Q74" s="28"/>
      <c r="R74" s="27">
        <v>42488</v>
      </c>
      <c r="S74" s="28" t="s">
        <v>1775</v>
      </c>
      <c r="T74" s="4"/>
    </row>
    <row r="75" spans="1:20" ht="30" x14ac:dyDescent="0.25">
      <c r="A75" s="27">
        <v>40575</v>
      </c>
      <c r="B75" s="27">
        <v>42552</v>
      </c>
      <c r="C75" s="28" t="s">
        <v>1754</v>
      </c>
      <c r="D75" s="29" t="s">
        <v>1964</v>
      </c>
      <c r="E75" s="28" t="s">
        <v>1965</v>
      </c>
      <c r="F75" s="30">
        <v>142392</v>
      </c>
      <c r="G75" s="30">
        <v>177990.02</v>
      </c>
      <c r="H75" s="30">
        <v>0</v>
      </c>
      <c r="I75" s="30">
        <v>0</v>
      </c>
      <c r="J75" s="30">
        <v>-157.58000000000001</v>
      </c>
      <c r="K75" s="30">
        <v>0</v>
      </c>
      <c r="L75" s="31" t="s">
        <v>1966</v>
      </c>
      <c r="M75" s="28" t="s">
        <v>1191</v>
      </c>
      <c r="N75" s="28" t="s">
        <v>1967</v>
      </c>
      <c r="O75" s="32" t="s">
        <v>1918</v>
      </c>
      <c r="P75" s="32" t="s">
        <v>1968</v>
      </c>
      <c r="Q75" s="28"/>
      <c r="R75" s="27">
        <v>42598</v>
      </c>
      <c r="S75" s="28" t="s">
        <v>1775</v>
      </c>
      <c r="T75" s="4"/>
    </row>
    <row r="76" spans="1:20" x14ac:dyDescent="0.25">
      <c r="A76" s="27">
        <v>42453</v>
      </c>
      <c r="B76" s="27">
        <v>42454</v>
      </c>
      <c r="C76" s="28" t="s">
        <v>653</v>
      </c>
      <c r="D76" s="29" t="s">
        <v>1969</v>
      </c>
      <c r="E76" s="28" t="s">
        <v>889</v>
      </c>
      <c r="F76" s="30">
        <v>0</v>
      </c>
      <c r="G76" s="30">
        <v>0</v>
      </c>
      <c r="H76" s="30">
        <v>305310</v>
      </c>
      <c r="I76" s="30">
        <v>381638</v>
      </c>
      <c r="J76" s="30">
        <v>0</v>
      </c>
      <c r="K76" s="30">
        <v>305310</v>
      </c>
      <c r="L76" s="31" t="s">
        <v>1970</v>
      </c>
      <c r="M76" s="28" t="s">
        <v>1191</v>
      </c>
      <c r="N76" s="28" t="s">
        <v>1971</v>
      </c>
      <c r="O76" s="32" t="s">
        <v>80</v>
      </c>
      <c r="P76" s="32" t="s">
        <v>1972</v>
      </c>
      <c r="Q76" s="28"/>
      <c r="R76" s="27">
        <v>42453</v>
      </c>
      <c r="S76" s="28" t="s">
        <v>1775</v>
      </c>
      <c r="T76" s="4"/>
    </row>
    <row r="77" spans="1:20" ht="30" x14ac:dyDescent="0.25">
      <c r="A77" s="27">
        <v>42542</v>
      </c>
      <c r="B77" s="27">
        <v>42542</v>
      </c>
      <c r="C77" s="28" t="s">
        <v>653</v>
      </c>
      <c r="D77" s="29" t="s">
        <v>1973</v>
      </c>
      <c r="E77" s="28" t="s">
        <v>889</v>
      </c>
      <c r="F77" s="30">
        <v>0</v>
      </c>
      <c r="G77" s="30">
        <v>0</v>
      </c>
      <c r="H77" s="30">
        <v>1222000</v>
      </c>
      <c r="I77" s="30">
        <v>1891000</v>
      </c>
      <c r="J77" s="30">
        <v>0</v>
      </c>
      <c r="K77" s="30">
        <v>1222000</v>
      </c>
      <c r="L77" s="31" t="s">
        <v>1974</v>
      </c>
      <c r="M77" s="28" t="s">
        <v>72</v>
      </c>
      <c r="N77" s="28" t="s">
        <v>1975</v>
      </c>
      <c r="O77" s="32" t="s">
        <v>1976</v>
      </c>
      <c r="P77" s="32" t="s">
        <v>1977</v>
      </c>
      <c r="Q77" s="28"/>
      <c r="R77" s="27">
        <v>42562</v>
      </c>
      <c r="S77" s="28" t="s">
        <v>1775</v>
      </c>
      <c r="T77" s="4"/>
    </row>
    <row r="78" spans="1:20" ht="30" x14ac:dyDescent="0.25">
      <c r="A78" s="27">
        <v>42634</v>
      </c>
      <c r="B78" s="27">
        <v>42634</v>
      </c>
      <c r="C78" s="28" t="s">
        <v>653</v>
      </c>
      <c r="D78" s="29" t="s">
        <v>1978</v>
      </c>
      <c r="E78" s="28" t="s">
        <v>889</v>
      </c>
      <c r="F78" s="30">
        <v>0</v>
      </c>
      <c r="G78" s="30">
        <v>0</v>
      </c>
      <c r="H78" s="30">
        <v>98054</v>
      </c>
      <c r="I78" s="30">
        <v>122567</v>
      </c>
      <c r="J78" s="30">
        <v>0</v>
      </c>
      <c r="K78" s="30">
        <v>98054</v>
      </c>
      <c r="L78" s="31" t="s">
        <v>1979</v>
      </c>
      <c r="M78" s="28" t="s">
        <v>212</v>
      </c>
      <c r="N78" s="28" t="s">
        <v>1980</v>
      </c>
      <c r="O78" s="32" t="s">
        <v>1981</v>
      </c>
      <c r="P78" s="32" t="s">
        <v>1981</v>
      </c>
      <c r="Q78" s="28"/>
      <c r="R78" s="27">
        <v>42657</v>
      </c>
      <c r="S78" s="28" t="s">
        <v>1775</v>
      </c>
    </row>
    <row r="79" spans="1:20" x14ac:dyDescent="0.25">
      <c r="A79" s="27">
        <v>41023</v>
      </c>
      <c r="B79" s="27">
        <v>42396</v>
      </c>
      <c r="C79" s="28" t="s">
        <v>1754</v>
      </c>
      <c r="D79" s="29" t="s">
        <v>1982</v>
      </c>
      <c r="E79" s="28" t="s">
        <v>884</v>
      </c>
      <c r="F79" s="30">
        <v>403965.65</v>
      </c>
      <c r="G79" s="30">
        <v>504956.95</v>
      </c>
      <c r="H79" s="30">
        <v>0</v>
      </c>
      <c r="I79" s="30">
        <v>0</v>
      </c>
      <c r="J79" s="30">
        <v>1.5</v>
      </c>
      <c r="K79" s="30">
        <v>0</v>
      </c>
      <c r="L79" s="31" t="s">
        <v>1983</v>
      </c>
      <c r="M79" s="28" t="s">
        <v>212</v>
      </c>
      <c r="N79" s="28" t="s">
        <v>1984</v>
      </c>
      <c r="O79" s="32" t="s">
        <v>1985</v>
      </c>
      <c r="P79" s="32" t="s">
        <v>1986</v>
      </c>
      <c r="Q79" s="28"/>
      <c r="R79" s="27">
        <v>42408</v>
      </c>
      <c r="S79" s="28" t="s">
        <v>1775</v>
      </c>
    </row>
    <row r="80" spans="1:20" x14ac:dyDescent="0.25">
      <c r="A80" s="27">
        <v>41540</v>
      </c>
      <c r="B80" s="27">
        <v>42451</v>
      </c>
      <c r="C80" s="28" t="s">
        <v>1781</v>
      </c>
      <c r="D80" s="29" t="s">
        <v>1987</v>
      </c>
      <c r="E80" s="28" t="s">
        <v>884</v>
      </c>
      <c r="F80" s="30">
        <v>78400</v>
      </c>
      <c r="G80" s="30">
        <v>98000</v>
      </c>
      <c r="H80" s="30">
        <v>0</v>
      </c>
      <c r="I80" s="30">
        <v>0</v>
      </c>
      <c r="J80" s="30">
        <v>78400</v>
      </c>
      <c r="K80" s="30">
        <v>-78400</v>
      </c>
      <c r="L80" s="31" t="s">
        <v>1983</v>
      </c>
      <c r="M80" s="28" t="s">
        <v>73</v>
      </c>
      <c r="N80" s="28" t="s">
        <v>1988</v>
      </c>
      <c r="O80" s="32"/>
      <c r="P80" s="32"/>
      <c r="Q80" s="28"/>
      <c r="R80" s="27">
        <v>42453</v>
      </c>
      <c r="S80" s="28" t="s">
        <v>1775</v>
      </c>
    </row>
    <row r="81" spans="1:19" ht="30" x14ac:dyDescent="0.25">
      <c r="A81" s="27">
        <v>40325</v>
      </c>
      <c r="B81" s="27">
        <v>42356</v>
      </c>
      <c r="C81" s="28" t="s">
        <v>1781</v>
      </c>
      <c r="D81" s="29" t="s">
        <v>1989</v>
      </c>
      <c r="E81" s="28" t="s">
        <v>1990</v>
      </c>
      <c r="F81" s="30">
        <v>2317250</v>
      </c>
      <c r="G81" s="30">
        <v>3565000</v>
      </c>
      <c r="H81" s="30">
        <v>0</v>
      </c>
      <c r="I81" s="30">
        <v>0</v>
      </c>
      <c r="J81" s="30">
        <v>2317250</v>
      </c>
      <c r="K81" s="30">
        <v>-2317250</v>
      </c>
      <c r="L81" s="31" t="s">
        <v>1991</v>
      </c>
      <c r="M81" s="28" t="s">
        <v>72</v>
      </c>
      <c r="N81" s="28" t="s">
        <v>1992</v>
      </c>
      <c r="O81" s="32"/>
      <c r="P81" s="32" t="s">
        <v>329</v>
      </c>
      <c r="Q81" s="32" t="s">
        <v>1993</v>
      </c>
      <c r="R81" s="27">
        <v>42373</v>
      </c>
      <c r="S81" s="28" t="s">
        <v>1775</v>
      </c>
    </row>
    <row r="82" spans="1:19" x14ac:dyDescent="0.25">
      <c r="A82" s="27">
        <v>40575</v>
      </c>
      <c r="B82" s="27">
        <v>42360</v>
      </c>
      <c r="C82" s="28" t="s">
        <v>1754</v>
      </c>
      <c r="D82" s="29" t="s">
        <v>1994</v>
      </c>
      <c r="E82" s="28" t="s">
        <v>890</v>
      </c>
      <c r="F82" s="30">
        <v>652241.46</v>
      </c>
      <c r="G82" s="30">
        <v>966361.87</v>
      </c>
      <c r="H82" s="30">
        <v>0</v>
      </c>
      <c r="I82" s="30">
        <v>0</v>
      </c>
      <c r="J82" s="30">
        <v>-16837.939999999999</v>
      </c>
      <c r="K82" s="30">
        <v>0</v>
      </c>
      <c r="L82" s="31" t="s">
        <v>1995</v>
      </c>
      <c r="M82" s="28" t="s">
        <v>1191</v>
      </c>
      <c r="N82" s="28" t="s">
        <v>1996</v>
      </c>
      <c r="O82" s="32"/>
      <c r="P82" s="32"/>
      <c r="Q82" s="28"/>
      <c r="R82" s="27">
        <v>42374</v>
      </c>
      <c r="S82" s="28" t="s">
        <v>1775</v>
      </c>
    </row>
    <row r="83" spans="1:19" x14ac:dyDescent="0.25">
      <c r="A83" s="27">
        <v>42215</v>
      </c>
      <c r="B83" s="27">
        <v>42439</v>
      </c>
      <c r="C83" s="28" t="s">
        <v>1819</v>
      </c>
      <c r="D83" s="29" t="s">
        <v>1409</v>
      </c>
      <c r="E83" s="28" t="s">
        <v>889</v>
      </c>
      <c r="F83" s="30">
        <v>983071</v>
      </c>
      <c r="G83" s="30">
        <v>1301237</v>
      </c>
      <c r="H83" s="30">
        <v>0</v>
      </c>
      <c r="I83" s="30">
        <v>0</v>
      </c>
      <c r="J83" s="30">
        <v>983071</v>
      </c>
      <c r="K83" s="30">
        <v>-676000</v>
      </c>
      <c r="L83" s="31" t="s">
        <v>276</v>
      </c>
      <c r="M83" s="28" t="s">
        <v>1191</v>
      </c>
      <c r="N83" s="28" t="s">
        <v>1569</v>
      </c>
      <c r="O83" s="32" t="s">
        <v>1997</v>
      </c>
      <c r="P83" s="32" t="s">
        <v>1998</v>
      </c>
      <c r="Q83" s="28"/>
      <c r="R83" s="27">
        <v>42453</v>
      </c>
      <c r="S83" s="28" t="s">
        <v>1775</v>
      </c>
    </row>
    <row r="84" spans="1:19" ht="30" x14ac:dyDescent="0.25">
      <c r="A84" s="27">
        <v>42170</v>
      </c>
      <c r="B84" s="27">
        <v>42389</v>
      </c>
      <c r="C84" s="28" t="s">
        <v>1781</v>
      </c>
      <c r="D84" s="29" t="s">
        <v>1342</v>
      </c>
      <c r="E84" s="28" t="s">
        <v>892</v>
      </c>
      <c r="F84" s="30">
        <v>797531</v>
      </c>
      <c r="G84" s="30">
        <v>1053387</v>
      </c>
      <c r="H84" s="30">
        <v>0</v>
      </c>
      <c r="I84" s="30">
        <v>0</v>
      </c>
      <c r="J84" s="30">
        <v>797531</v>
      </c>
      <c r="K84" s="30">
        <v>-624000</v>
      </c>
      <c r="L84" s="31" t="s">
        <v>782</v>
      </c>
      <c r="M84" s="28" t="s">
        <v>1191</v>
      </c>
      <c r="N84" s="28" t="s">
        <v>1502</v>
      </c>
      <c r="O84" s="32" t="s">
        <v>75</v>
      </c>
      <c r="P84" s="32" t="s">
        <v>1999</v>
      </c>
      <c r="Q84" s="28"/>
      <c r="R84" s="27">
        <v>42408</v>
      </c>
      <c r="S84" s="28" t="s">
        <v>1775</v>
      </c>
    </row>
    <row r="85" spans="1:19" x14ac:dyDescent="0.25">
      <c r="A85" s="27">
        <v>42128</v>
      </c>
      <c r="B85" s="27">
        <v>42425</v>
      </c>
      <c r="C85" s="28" t="s">
        <v>1781</v>
      </c>
      <c r="D85" s="29" t="s">
        <v>2000</v>
      </c>
      <c r="E85" s="28" t="s">
        <v>889</v>
      </c>
      <c r="F85" s="30">
        <v>422700</v>
      </c>
      <c r="G85" s="30">
        <v>528375</v>
      </c>
      <c r="H85" s="30">
        <v>0</v>
      </c>
      <c r="I85" s="30">
        <v>0</v>
      </c>
      <c r="J85" s="30">
        <v>422700</v>
      </c>
      <c r="K85" s="30">
        <v>-422700</v>
      </c>
      <c r="L85" s="31" t="s">
        <v>2001</v>
      </c>
      <c r="M85" s="28" t="s">
        <v>1191</v>
      </c>
      <c r="N85" s="28" t="s">
        <v>2002</v>
      </c>
      <c r="O85" s="32" t="s">
        <v>1904</v>
      </c>
      <c r="P85" s="32" t="s">
        <v>2003</v>
      </c>
      <c r="Q85" s="28"/>
      <c r="R85" s="27">
        <v>42453</v>
      </c>
      <c r="S85" s="28" t="s">
        <v>1775</v>
      </c>
    </row>
    <row r="86" spans="1:19" ht="15.75" thickBot="1" x14ac:dyDescent="0.3">
      <c r="A86" s="33">
        <v>42030</v>
      </c>
      <c r="B86" s="33">
        <v>42418</v>
      </c>
      <c r="C86" s="34" t="s">
        <v>1781</v>
      </c>
      <c r="D86" s="35" t="s">
        <v>2004</v>
      </c>
      <c r="E86" s="34" t="s">
        <v>889</v>
      </c>
      <c r="F86" s="36">
        <v>824697</v>
      </c>
      <c r="G86" s="36">
        <v>1030872</v>
      </c>
      <c r="H86" s="36">
        <v>0</v>
      </c>
      <c r="I86" s="36">
        <v>0</v>
      </c>
      <c r="J86" s="36">
        <v>824697</v>
      </c>
      <c r="K86" s="36">
        <v>-824697</v>
      </c>
      <c r="L86" s="37" t="s">
        <v>2005</v>
      </c>
      <c r="M86" s="34" t="s">
        <v>1191</v>
      </c>
      <c r="N86" s="34" t="s">
        <v>2006</v>
      </c>
      <c r="O86" s="38" t="s">
        <v>2007</v>
      </c>
      <c r="P86" s="38" t="s">
        <v>2008</v>
      </c>
      <c r="Q86" s="34"/>
      <c r="R86" s="33">
        <v>42453</v>
      </c>
      <c r="S86" s="34" t="s">
        <v>1775</v>
      </c>
    </row>
    <row r="87" spans="1:19" x14ac:dyDescent="0.25">
      <c r="A87" s="135">
        <v>41129</v>
      </c>
      <c r="B87" s="140">
        <v>42307</v>
      </c>
      <c r="C87" s="142" t="s">
        <v>1754</v>
      </c>
      <c r="D87" s="147" t="s">
        <v>2009</v>
      </c>
      <c r="E87" s="142" t="s">
        <v>884</v>
      </c>
      <c r="F87" s="154">
        <v>285665.51</v>
      </c>
      <c r="G87" s="154">
        <v>357082</v>
      </c>
      <c r="H87" s="154">
        <v>0</v>
      </c>
      <c r="I87" s="154">
        <v>0</v>
      </c>
      <c r="J87" s="154">
        <f>F87-288536.52</f>
        <v>-2871.0100000000093</v>
      </c>
      <c r="K87" s="154">
        <v>0</v>
      </c>
      <c r="L87" s="159" t="s">
        <v>2010</v>
      </c>
      <c r="M87" s="142" t="s">
        <v>72</v>
      </c>
      <c r="N87" s="142" t="s">
        <v>2011</v>
      </c>
      <c r="O87" s="164"/>
      <c r="P87" s="164"/>
      <c r="Q87" s="142"/>
      <c r="R87" s="140">
        <v>42325</v>
      </c>
      <c r="S87" s="169" t="s">
        <v>1775</v>
      </c>
    </row>
    <row r="88" spans="1:19" ht="30" x14ac:dyDescent="0.25">
      <c r="A88" s="68">
        <v>42391</v>
      </c>
      <c r="B88" s="69">
        <v>42391</v>
      </c>
      <c r="C88" s="70" t="s">
        <v>653</v>
      </c>
      <c r="D88" s="71" t="s">
        <v>2012</v>
      </c>
      <c r="E88" s="70" t="s">
        <v>889</v>
      </c>
      <c r="F88" s="72">
        <v>0</v>
      </c>
      <c r="G88" s="72">
        <v>0</v>
      </c>
      <c r="H88" s="72">
        <v>108040</v>
      </c>
      <c r="I88" s="72">
        <v>139000</v>
      </c>
      <c r="J88" s="72">
        <v>0</v>
      </c>
      <c r="K88" s="72">
        <v>108040</v>
      </c>
      <c r="L88" s="73" t="s">
        <v>2013</v>
      </c>
      <c r="M88" s="70" t="s">
        <v>72</v>
      </c>
      <c r="N88" s="70" t="s">
        <v>2014</v>
      </c>
      <c r="O88" s="74" t="s">
        <v>2015</v>
      </c>
      <c r="P88" s="74" t="s">
        <v>41</v>
      </c>
      <c r="Q88" s="70"/>
      <c r="R88" s="69">
        <v>42488</v>
      </c>
      <c r="S88" s="75" t="s">
        <v>1775</v>
      </c>
    </row>
    <row r="89" spans="1:19" ht="30.75" thickBot="1" x14ac:dyDescent="0.3">
      <c r="A89" s="47">
        <v>42391</v>
      </c>
      <c r="B89" s="48">
        <v>42475</v>
      </c>
      <c r="C89" s="49" t="s">
        <v>1755</v>
      </c>
      <c r="D89" s="50" t="s">
        <v>2012</v>
      </c>
      <c r="E89" s="49" t="s">
        <v>889</v>
      </c>
      <c r="F89" s="51">
        <v>0</v>
      </c>
      <c r="G89" s="51">
        <v>0</v>
      </c>
      <c r="H89" s="51">
        <v>95991</v>
      </c>
      <c r="I89" s="51">
        <v>119989</v>
      </c>
      <c r="J89" s="51">
        <v>0</v>
      </c>
      <c r="K89" s="51">
        <f>H89-H88</f>
        <v>-12049</v>
      </c>
      <c r="L89" s="52" t="s">
        <v>2013</v>
      </c>
      <c r="M89" s="49" t="s">
        <v>72</v>
      </c>
      <c r="N89" s="49" t="s">
        <v>2014</v>
      </c>
      <c r="O89" s="53" t="s">
        <v>2015</v>
      </c>
      <c r="P89" s="53" t="s">
        <v>41</v>
      </c>
      <c r="Q89" s="49"/>
      <c r="R89" s="48">
        <v>42496</v>
      </c>
      <c r="S89" s="54" t="s">
        <v>1775</v>
      </c>
    </row>
    <row r="90" spans="1:19" ht="30" x14ac:dyDescent="0.25">
      <c r="A90" s="136">
        <v>42391</v>
      </c>
      <c r="B90" s="136">
        <v>42494</v>
      </c>
      <c r="C90" s="143" t="s">
        <v>1781</v>
      </c>
      <c r="D90" s="148" t="s">
        <v>2012</v>
      </c>
      <c r="E90" s="143" t="s">
        <v>889</v>
      </c>
      <c r="F90" s="155">
        <v>95991</v>
      </c>
      <c r="G90" s="155">
        <v>119989</v>
      </c>
      <c r="H90" s="155">
        <v>0</v>
      </c>
      <c r="I90" s="155">
        <v>0</v>
      </c>
      <c r="J90" s="155">
        <v>95991</v>
      </c>
      <c r="K90" s="155">
        <f>H90-H89</f>
        <v>-95991</v>
      </c>
      <c r="L90" s="160" t="s">
        <v>2013</v>
      </c>
      <c r="M90" s="143" t="s">
        <v>72</v>
      </c>
      <c r="N90" s="143" t="s">
        <v>2014</v>
      </c>
      <c r="O90" s="165" t="s">
        <v>2015</v>
      </c>
      <c r="P90" s="165" t="s">
        <v>41</v>
      </c>
      <c r="Q90" s="143"/>
      <c r="R90" s="136">
        <v>42496</v>
      </c>
      <c r="S90" s="143" t="s">
        <v>1775</v>
      </c>
    </row>
    <row r="91" spans="1:19" ht="45" x14ac:dyDescent="0.25">
      <c r="A91" s="76">
        <v>42384</v>
      </c>
      <c r="B91" s="76">
        <v>42384</v>
      </c>
      <c r="C91" s="77" t="s">
        <v>653</v>
      </c>
      <c r="D91" s="78" t="s">
        <v>2016</v>
      </c>
      <c r="E91" s="77" t="s">
        <v>1990</v>
      </c>
      <c r="F91" s="79">
        <v>0</v>
      </c>
      <c r="G91" s="79">
        <v>0</v>
      </c>
      <c r="H91" s="79">
        <v>405000</v>
      </c>
      <c r="I91" s="79">
        <v>506400</v>
      </c>
      <c r="J91" s="79">
        <v>0</v>
      </c>
      <c r="K91" s="79">
        <v>405000</v>
      </c>
      <c r="L91" s="80" t="s">
        <v>2017</v>
      </c>
      <c r="M91" s="77" t="s">
        <v>72</v>
      </c>
      <c r="N91" s="77" t="s">
        <v>2018</v>
      </c>
      <c r="O91" s="81" t="s">
        <v>2019</v>
      </c>
      <c r="P91" s="81" t="s">
        <v>41</v>
      </c>
      <c r="Q91" s="77"/>
      <c r="R91" s="76">
        <v>42404</v>
      </c>
      <c r="S91" s="77" t="s">
        <v>1775</v>
      </c>
    </row>
    <row r="92" spans="1:19" x14ac:dyDescent="0.25">
      <c r="A92" s="62">
        <v>42571</v>
      </c>
      <c r="B92" s="62">
        <v>42571</v>
      </c>
      <c r="C92" s="28" t="s">
        <v>653</v>
      </c>
      <c r="D92" s="29" t="s">
        <v>2020</v>
      </c>
      <c r="E92" s="77" t="s">
        <v>889</v>
      </c>
      <c r="F92" s="79">
        <v>0</v>
      </c>
      <c r="G92" s="79">
        <v>0</v>
      </c>
      <c r="H92" s="30">
        <v>48000</v>
      </c>
      <c r="I92" s="30">
        <v>60000</v>
      </c>
      <c r="J92" s="30">
        <v>0</v>
      </c>
      <c r="K92" s="30">
        <v>48000</v>
      </c>
      <c r="L92" s="31" t="s">
        <v>2021</v>
      </c>
      <c r="M92" s="28" t="s">
        <v>212</v>
      </c>
      <c r="N92" s="28" t="s">
        <v>2022</v>
      </c>
      <c r="O92" s="32" t="s">
        <v>2023</v>
      </c>
      <c r="P92" s="32" t="s">
        <v>2024</v>
      </c>
      <c r="Q92" s="28"/>
      <c r="R92" s="27">
        <v>42566</v>
      </c>
      <c r="S92" s="77" t="s">
        <v>1775</v>
      </c>
    </row>
    <row r="93" spans="1:19" ht="60" x14ac:dyDescent="0.25">
      <c r="A93" s="62">
        <v>42578</v>
      </c>
      <c r="B93" s="62">
        <v>42578</v>
      </c>
      <c r="C93" s="28" t="s">
        <v>653</v>
      </c>
      <c r="D93" s="29" t="s">
        <v>2025</v>
      </c>
      <c r="E93" s="77" t="s">
        <v>889</v>
      </c>
      <c r="F93" s="79">
        <v>0</v>
      </c>
      <c r="G93" s="79">
        <v>0</v>
      </c>
      <c r="H93" s="30">
        <v>17760</v>
      </c>
      <c r="I93" s="30">
        <v>62892</v>
      </c>
      <c r="J93" s="30">
        <v>0</v>
      </c>
      <c r="K93" s="30">
        <v>17760</v>
      </c>
      <c r="L93" s="31" t="s">
        <v>2026</v>
      </c>
      <c r="M93" s="28" t="s">
        <v>212</v>
      </c>
      <c r="N93" s="28" t="s">
        <v>2027</v>
      </c>
      <c r="O93" s="32" t="s">
        <v>212</v>
      </c>
      <c r="P93" s="32" t="s">
        <v>2028</v>
      </c>
      <c r="Q93" s="28"/>
      <c r="R93" s="27">
        <v>42598</v>
      </c>
      <c r="S93" s="28" t="s">
        <v>1775</v>
      </c>
    </row>
    <row r="94" spans="1:19" ht="30" x14ac:dyDescent="0.25">
      <c r="A94" s="62">
        <v>42586</v>
      </c>
      <c r="B94" s="62">
        <v>42586</v>
      </c>
      <c r="C94" s="28" t="s">
        <v>653</v>
      </c>
      <c r="D94" s="29" t="s">
        <v>2029</v>
      </c>
      <c r="E94" s="28" t="s">
        <v>889</v>
      </c>
      <c r="F94" s="30">
        <v>0</v>
      </c>
      <c r="G94" s="30">
        <v>0</v>
      </c>
      <c r="H94" s="30">
        <v>35988</v>
      </c>
      <c r="I94" s="30">
        <v>44985</v>
      </c>
      <c r="J94" s="30">
        <v>0</v>
      </c>
      <c r="K94" s="30">
        <v>35988</v>
      </c>
      <c r="L94" s="31" t="s">
        <v>2030</v>
      </c>
      <c r="M94" s="28" t="s">
        <v>212</v>
      </c>
      <c r="N94" s="28" t="s">
        <v>2031</v>
      </c>
      <c r="O94" s="32" t="s">
        <v>212</v>
      </c>
      <c r="P94" s="32" t="s">
        <v>2032</v>
      </c>
      <c r="Q94" s="28"/>
      <c r="R94" s="27">
        <v>42598</v>
      </c>
      <c r="S94" s="28" t="s">
        <v>1775</v>
      </c>
    </row>
    <row r="95" spans="1:19" x14ac:dyDescent="0.25">
      <c r="A95" s="27">
        <v>41767</v>
      </c>
      <c r="B95" s="27">
        <v>42474</v>
      </c>
      <c r="C95" s="28" t="s">
        <v>1781</v>
      </c>
      <c r="D95" s="29" t="s">
        <v>2033</v>
      </c>
      <c r="E95" s="28" t="s">
        <v>884</v>
      </c>
      <c r="F95" s="30">
        <v>1660000</v>
      </c>
      <c r="G95" s="30">
        <v>2096754</v>
      </c>
      <c r="H95" s="30">
        <v>0</v>
      </c>
      <c r="I95" s="30">
        <v>0</v>
      </c>
      <c r="J95" s="30">
        <v>1660000</v>
      </c>
      <c r="K95" s="30">
        <v>-1660000</v>
      </c>
      <c r="L95" s="31" t="s">
        <v>819</v>
      </c>
      <c r="M95" s="28" t="s">
        <v>72</v>
      </c>
      <c r="N95" s="28" t="s">
        <v>2034</v>
      </c>
      <c r="O95" s="32" t="s">
        <v>123</v>
      </c>
      <c r="P95" s="32" t="s">
        <v>2035</v>
      </c>
      <c r="Q95" s="28"/>
      <c r="R95" s="27">
        <v>42479</v>
      </c>
      <c r="S95" s="28" t="s">
        <v>1775</v>
      </c>
    </row>
    <row r="96" spans="1:19" x14ac:dyDescent="0.25">
      <c r="A96" s="27">
        <v>42332</v>
      </c>
      <c r="B96" s="27">
        <v>42332</v>
      </c>
      <c r="C96" s="28" t="s">
        <v>653</v>
      </c>
      <c r="D96" s="29" t="s">
        <v>2036</v>
      </c>
      <c r="E96" s="28" t="s">
        <v>889</v>
      </c>
      <c r="F96" s="30">
        <v>0</v>
      </c>
      <c r="G96" s="30">
        <v>0</v>
      </c>
      <c r="H96" s="30">
        <v>4080000</v>
      </c>
      <c r="I96" s="30">
        <v>9715000</v>
      </c>
      <c r="J96" s="30">
        <v>0</v>
      </c>
      <c r="K96" s="30">
        <v>4080000</v>
      </c>
      <c r="L96" s="31" t="s">
        <v>2037</v>
      </c>
      <c r="M96" s="28" t="s">
        <v>72</v>
      </c>
      <c r="N96" s="28" t="s">
        <v>2038</v>
      </c>
      <c r="O96" s="32" t="s">
        <v>1904</v>
      </c>
      <c r="P96" s="32" t="s">
        <v>2039</v>
      </c>
      <c r="Q96" s="28"/>
      <c r="R96" s="27">
        <v>42338</v>
      </c>
      <c r="S96" s="28" t="s">
        <v>1775</v>
      </c>
    </row>
    <row r="97" spans="1:19" x14ac:dyDescent="0.25">
      <c r="A97" s="27">
        <v>42332</v>
      </c>
      <c r="B97" s="27">
        <v>42565</v>
      </c>
      <c r="C97" s="28" t="s">
        <v>1781</v>
      </c>
      <c r="D97" s="29" t="s">
        <v>2036</v>
      </c>
      <c r="E97" s="28" t="s">
        <v>889</v>
      </c>
      <c r="F97" s="30">
        <v>4080000</v>
      </c>
      <c r="G97" s="30">
        <v>5985923</v>
      </c>
      <c r="H97" s="30">
        <v>0</v>
      </c>
      <c r="I97" s="30">
        <v>0</v>
      </c>
      <c r="J97" s="30">
        <v>4080000</v>
      </c>
      <c r="K97" s="30">
        <v>-4080000</v>
      </c>
      <c r="L97" s="31" t="s">
        <v>2037</v>
      </c>
      <c r="M97" s="28" t="s">
        <v>72</v>
      </c>
      <c r="N97" s="28" t="s">
        <v>2038</v>
      </c>
      <c r="O97" s="32" t="s">
        <v>1904</v>
      </c>
      <c r="P97" s="32" t="s">
        <v>2039</v>
      </c>
      <c r="Q97" s="28"/>
      <c r="R97" s="27">
        <v>42566</v>
      </c>
      <c r="S97" s="28" t="s">
        <v>1775</v>
      </c>
    </row>
    <row r="98" spans="1:19" x14ac:dyDescent="0.25">
      <c r="A98" s="27">
        <v>40400</v>
      </c>
      <c r="B98" s="27">
        <v>42439</v>
      </c>
      <c r="C98" s="28" t="s">
        <v>1754</v>
      </c>
      <c r="D98" s="29" t="s">
        <v>2040</v>
      </c>
      <c r="E98" s="28" t="s">
        <v>890</v>
      </c>
      <c r="F98" s="30">
        <v>186143</v>
      </c>
      <c r="G98" s="30">
        <v>602150.23</v>
      </c>
      <c r="H98" s="30">
        <v>0</v>
      </c>
      <c r="I98" s="30">
        <v>0</v>
      </c>
      <c r="J98" s="30">
        <v>0</v>
      </c>
      <c r="K98" s="30">
        <v>0</v>
      </c>
      <c r="L98" s="31" t="s">
        <v>2041</v>
      </c>
      <c r="M98" s="28" t="s">
        <v>72</v>
      </c>
      <c r="N98" s="28" t="s">
        <v>2042</v>
      </c>
      <c r="O98" s="32" t="s">
        <v>1934</v>
      </c>
      <c r="P98" s="32"/>
      <c r="Q98" s="28"/>
      <c r="R98" s="27">
        <v>42513</v>
      </c>
      <c r="S98" s="28" t="s">
        <v>1775</v>
      </c>
    </row>
    <row r="99" spans="1:19" ht="30" x14ac:dyDescent="0.25">
      <c r="A99" s="27">
        <v>40767</v>
      </c>
      <c r="B99" s="27">
        <v>42397</v>
      </c>
      <c r="C99" s="28" t="s">
        <v>1754</v>
      </c>
      <c r="D99" s="29" t="s">
        <v>1308</v>
      </c>
      <c r="E99" s="28" t="s">
        <v>884</v>
      </c>
      <c r="F99" s="30">
        <v>532426.71</v>
      </c>
      <c r="G99" s="30">
        <v>671713.35</v>
      </c>
      <c r="H99" s="30">
        <v>0</v>
      </c>
      <c r="I99" s="30">
        <v>0</v>
      </c>
      <c r="J99" s="30">
        <v>2278.71</v>
      </c>
      <c r="K99" s="30">
        <v>0</v>
      </c>
      <c r="L99" s="31" t="s">
        <v>750</v>
      </c>
      <c r="M99" s="28" t="s">
        <v>1191</v>
      </c>
      <c r="N99" s="28" t="s">
        <v>1468</v>
      </c>
      <c r="O99" s="32" t="s">
        <v>1934</v>
      </c>
      <c r="P99" s="32" t="s">
        <v>2043</v>
      </c>
      <c r="Q99" s="28"/>
      <c r="R99" s="27">
        <v>42408</v>
      </c>
      <c r="S99" s="28" t="s">
        <v>1775</v>
      </c>
    </row>
    <row r="100" spans="1:19" ht="30" x14ac:dyDescent="0.25">
      <c r="A100" s="27">
        <v>40767</v>
      </c>
      <c r="B100" s="27">
        <v>42527</v>
      </c>
      <c r="C100" s="28" t="s">
        <v>2044</v>
      </c>
      <c r="D100" s="29" t="s">
        <v>1308</v>
      </c>
      <c r="E100" s="28" t="s">
        <v>884</v>
      </c>
      <c r="F100" s="30">
        <v>538921.47</v>
      </c>
      <c r="G100" s="30">
        <v>679831.8</v>
      </c>
      <c r="H100" s="30">
        <v>0</v>
      </c>
      <c r="I100" s="30">
        <v>0</v>
      </c>
      <c r="J100" s="30">
        <v>6494.76</v>
      </c>
      <c r="K100" s="30">
        <v>0</v>
      </c>
      <c r="L100" s="31" t="s">
        <v>750</v>
      </c>
      <c r="M100" s="28" t="s">
        <v>1191</v>
      </c>
      <c r="N100" s="28" t="s">
        <v>1468</v>
      </c>
      <c r="O100" s="32" t="s">
        <v>1934</v>
      </c>
      <c r="P100" s="32" t="s">
        <v>2043</v>
      </c>
      <c r="Q100" s="63" t="s">
        <v>2044</v>
      </c>
      <c r="R100" s="27">
        <v>42537</v>
      </c>
      <c r="S100" s="28" t="s">
        <v>1775</v>
      </c>
    </row>
    <row r="101" spans="1:19" ht="30" x14ac:dyDescent="0.25">
      <c r="A101" s="27">
        <v>41537</v>
      </c>
      <c r="B101" s="27">
        <v>42310</v>
      </c>
      <c r="C101" s="28" t="s">
        <v>1755</v>
      </c>
      <c r="D101" s="29">
        <v>4003220</v>
      </c>
      <c r="E101" s="28" t="s">
        <v>884</v>
      </c>
      <c r="F101" s="30">
        <v>8910000</v>
      </c>
      <c r="G101" s="30">
        <v>11858761</v>
      </c>
      <c r="H101" s="30">
        <v>0</v>
      </c>
      <c r="I101" s="30">
        <v>0</v>
      </c>
      <c r="J101" s="30">
        <f>F101-9560000</f>
        <v>-650000</v>
      </c>
      <c r="K101" s="30">
        <v>0</v>
      </c>
      <c r="L101" s="31" t="s">
        <v>2045</v>
      </c>
      <c r="M101" s="28" t="s">
        <v>72</v>
      </c>
      <c r="N101" s="28" t="s">
        <v>2046</v>
      </c>
      <c r="O101" s="32" t="s">
        <v>123</v>
      </c>
      <c r="P101" s="32" t="s">
        <v>2047</v>
      </c>
      <c r="Q101" s="32" t="s">
        <v>2048</v>
      </c>
      <c r="R101" s="27">
        <v>42325</v>
      </c>
      <c r="S101" s="28" t="s">
        <v>1775</v>
      </c>
    </row>
    <row r="102" spans="1:19" x14ac:dyDescent="0.25">
      <c r="A102" s="27">
        <v>42170</v>
      </c>
      <c r="B102" s="27">
        <v>42394</v>
      </c>
      <c r="C102" s="28" t="s">
        <v>1781</v>
      </c>
      <c r="D102" s="29" t="s">
        <v>2049</v>
      </c>
      <c r="E102" s="28" t="s">
        <v>889</v>
      </c>
      <c r="F102" s="30">
        <v>534062</v>
      </c>
      <c r="G102" s="30">
        <v>787211</v>
      </c>
      <c r="H102" s="30">
        <v>0</v>
      </c>
      <c r="I102" s="30">
        <v>0</v>
      </c>
      <c r="J102" s="30">
        <v>534062</v>
      </c>
      <c r="K102" s="30">
        <v>-534062</v>
      </c>
      <c r="L102" s="31" t="s">
        <v>2045</v>
      </c>
      <c r="M102" s="28" t="s">
        <v>1191</v>
      </c>
      <c r="N102" s="28" t="s">
        <v>2050</v>
      </c>
      <c r="O102" s="32"/>
      <c r="P102" s="32" t="s">
        <v>2051</v>
      </c>
      <c r="Q102" s="28"/>
      <c r="R102" s="27">
        <v>42408</v>
      </c>
      <c r="S102" s="28" t="s">
        <v>1775</v>
      </c>
    </row>
    <row r="103" spans="1:19" x14ac:dyDescent="0.25">
      <c r="A103" s="27">
        <v>42494</v>
      </c>
      <c r="B103" s="27">
        <v>42494</v>
      </c>
      <c r="C103" s="28" t="s">
        <v>653</v>
      </c>
      <c r="D103" s="29" t="s">
        <v>2052</v>
      </c>
      <c r="E103" s="28" t="s">
        <v>889</v>
      </c>
      <c r="F103" s="30">
        <v>0</v>
      </c>
      <c r="G103" s="30">
        <v>0</v>
      </c>
      <c r="H103" s="30">
        <v>789600</v>
      </c>
      <c r="I103" s="30">
        <v>1029000</v>
      </c>
      <c r="J103" s="30">
        <v>0</v>
      </c>
      <c r="K103" s="30">
        <v>789600</v>
      </c>
      <c r="L103" s="31" t="s">
        <v>2053</v>
      </c>
      <c r="M103" s="28" t="s">
        <v>1191</v>
      </c>
      <c r="N103" s="28" t="s">
        <v>2054</v>
      </c>
      <c r="O103" s="32" t="s">
        <v>2055</v>
      </c>
      <c r="P103" s="32" t="s">
        <v>2056</v>
      </c>
      <c r="Q103" s="28" t="s">
        <v>2057</v>
      </c>
      <c r="R103" s="27">
        <v>42496</v>
      </c>
      <c r="S103" s="28" t="s">
        <v>1775</v>
      </c>
    </row>
    <row r="104" spans="1:19" ht="30" x14ac:dyDescent="0.25">
      <c r="A104" s="27">
        <v>42436</v>
      </c>
      <c r="B104" s="27">
        <v>42436</v>
      </c>
      <c r="C104" s="28" t="s">
        <v>653</v>
      </c>
      <c r="D104" s="29" t="s">
        <v>2058</v>
      </c>
      <c r="E104" s="28" t="s">
        <v>889</v>
      </c>
      <c r="F104" s="30">
        <v>0</v>
      </c>
      <c r="G104" s="30">
        <v>0</v>
      </c>
      <c r="H104" s="30">
        <v>86400</v>
      </c>
      <c r="I104" s="30">
        <v>150000</v>
      </c>
      <c r="J104" s="30">
        <v>0</v>
      </c>
      <c r="K104" s="30">
        <v>86400</v>
      </c>
      <c r="L104" s="31" t="s">
        <v>2059</v>
      </c>
      <c r="M104" s="28" t="s">
        <v>73</v>
      </c>
      <c r="N104" s="28" t="s">
        <v>2060</v>
      </c>
      <c r="O104" s="32" t="s">
        <v>245</v>
      </c>
      <c r="P104" s="32" t="s">
        <v>2061</v>
      </c>
      <c r="Q104" s="28"/>
      <c r="R104" s="27">
        <v>42436</v>
      </c>
      <c r="S104" s="28" t="s">
        <v>1775</v>
      </c>
    </row>
    <row r="105" spans="1:19" ht="30" x14ac:dyDescent="0.25">
      <c r="A105" s="27">
        <v>41397</v>
      </c>
      <c r="B105" s="27">
        <v>42536</v>
      </c>
      <c r="C105" s="28" t="s">
        <v>1754</v>
      </c>
      <c r="D105" s="29" t="s">
        <v>2062</v>
      </c>
      <c r="E105" s="28" t="s">
        <v>884</v>
      </c>
      <c r="F105" s="30">
        <v>314006.12</v>
      </c>
      <c r="G105" s="30">
        <v>392507.68</v>
      </c>
      <c r="H105" s="30">
        <v>0</v>
      </c>
      <c r="I105" s="30">
        <v>0</v>
      </c>
      <c r="J105" s="30">
        <v>-31041.88</v>
      </c>
      <c r="K105" s="30">
        <v>0</v>
      </c>
      <c r="L105" s="31" t="s">
        <v>2063</v>
      </c>
      <c r="M105" s="28" t="s">
        <v>72</v>
      </c>
      <c r="N105" s="28" t="s">
        <v>2064</v>
      </c>
      <c r="O105" s="32" t="s">
        <v>1904</v>
      </c>
      <c r="P105" s="32" t="s">
        <v>2065</v>
      </c>
      <c r="Q105" s="28"/>
      <c r="R105" s="27">
        <v>42537</v>
      </c>
      <c r="S105" s="28" t="s">
        <v>1775</v>
      </c>
    </row>
    <row r="106" spans="1:19" x14ac:dyDescent="0.25">
      <c r="A106" s="27">
        <v>41976</v>
      </c>
      <c r="B106" s="27">
        <v>42551</v>
      </c>
      <c r="C106" s="28" t="s">
        <v>1755</v>
      </c>
      <c r="D106" s="29" t="s">
        <v>2066</v>
      </c>
      <c r="E106" s="28" t="s">
        <v>892</v>
      </c>
      <c r="F106" s="30">
        <v>7804809.9900000002</v>
      </c>
      <c r="G106" s="30">
        <v>9756012.4900000002</v>
      </c>
      <c r="H106" s="30">
        <v>0</v>
      </c>
      <c r="I106" s="30">
        <v>0</v>
      </c>
      <c r="J106" s="30">
        <v>-495350.01</v>
      </c>
      <c r="K106" s="30">
        <v>0</v>
      </c>
      <c r="L106" s="31" t="s">
        <v>2067</v>
      </c>
      <c r="M106" s="28" t="s">
        <v>1191</v>
      </c>
      <c r="N106" s="28" t="s">
        <v>2068</v>
      </c>
      <c r="O106" s="32" t="s">
        <v>1904</v>
      </c>
      <c r="P106" s="32" t="s">
        <v>2069</v>
      </c>
      <c r="Q106" s="28"/>
      <c r="R106" s="27">
        <v>42598</v>
      </c>
      <c r="S106" s="28" t="s">
        <v>1775</v>
      </c>
    </row>
    <row r="107" spans="1:19" x14ac:dyDescent="0.25">
      <c r="A107" s="27">
        <v>41485</v>
      </c>
      <c r="B107" s="27">
        <v>42506</v>
      </c>
      <c r="C107" s="28" t="s">
        <v>1754</v>
      </c>
      <c r="D107" s="29" t="s">
        <v>2070</v>
      </c>
      <c r="E107" s="28" t="s">
        <v>892</v>
      </c>
      <c r="F107" s="30">
        <v>12589.82</v>
      </c>
      <c r="G107" s="30">
        <v>15737.28</v>
      </c>
      <c r="H107" s="30">
        <v>0</v>
      </c>
      <c r="I107" s="30">
        <v>0</v>
      </c>
      <c r="J107" s="30">
        <v>-23410.18</v>
      </c>
      <c r="K107" s="30">
        <v>0</v>
      </c>
      <c r="L107" s="31" t="s">
        <v>2071</v>
      </c>
      <c r="M107" s="28" t="s">
        <v>72</v>
      </c>
      <c r="N107" s="28" t="s">
        <v>2072</v>
      </c>
      <c r="O107" s="32" t="s">
        <v>1831</v>
      </c>
      <c r="P107" s="32"/>
      <c r="Q107" s="28"/>
      <c r="R107" s="27">
        <v>42508</v>
      </c>
      <c r="S107" s="28" t="s">
        <v>1775</v>
      </c>
    </row>
    <row r="108" spans="1:19" x14ac:dyDescent="0.25">
      <c r="A108" s="27">
        <v>41655</v>
      </c>
      <c r="B108" s="27">
        <v>42481</v>
      </c>
      <c r="C108" s="28" t="s">
        <v>1754</v>
      </c>
      <c r="D108" s="29" t="s">
        <v>2073</v>
      </c>
      <c r="E108" s="28" t="s">
        <v>884</v>
      </c>
      <c r="F108" s="30">
        <v>159696.24</v>
      </c>
      <c r="G108" s="30">
        <v>199620.3</v>
      </c>
      <c r="H108" s="30">
        <v>0</v>
      </c>
      <c r="I108" s="30">
        <v>0</v>
      </c>
      <c r="J108" s="30">
        <v>0</v>
      </c>
      <c r="K108" s="30">
        <v>0</v>
      </c>
      <c r="L108" s="31" t="s">
        <v>2074</v>
      </c>
      <c r="M108" s="28" t="s">
        <v>212</v>
      </c>
      <c r="N108" s="28" t="s">
        <v>2075</v>
      </c>
      <c r="O108" s="32" t="s">
        <v>1904</v>
      </c>
      <c r="P108" s="32" t="s">
        <v>41</v>
      </c>
      <c r="Q108" s="28"/>
      <c r="R108" s="27">
        <v>42488</v>
      </c>
      <c r="S108" s="28" t="s">
        <v>1775</v>
      </c>
    </row>
    <row r="109" spans="1:19" x14ac:dyDescent="0.25">
      <c r="A109" s="27">
        <v>42117</v>
      </c>
      <c r="B109" s="27">
        <v>42403</v>
      </c>
      <c r="C109" s="28" t="s">
        <v>1781</v>
      </c>
      <c r="D109" s="29" t="s">
        <v>2076</v>
      </c>
      <c r="E109" s="28" t="s">
        <v>889</v>
      </c>
      <c r="F109" s="30">
        <v>1135797</v>
      </c>
      <c r="G109" s="30">
        <v>1419746</v>
      </c>
      <c r="H109" s="30">
        <v>0</v>
      </c>
      <c r="I109" s="30">
        <v>0</v>
      </c>
      <c r="J109" s="30">
        <v>1135797</v>
      </c>
      <c r="K109" s="30">
        <v>-1135797</v>
      </c>
      <c r="L109" s="31" t="s">
        <v>2074</v>
      </c>
      <c r="M109" s="28" t="s">
        <v>1191</v>
      </c>
      <c r="N109" s="28" t="s">
        <v>2077</v>
      </c>
      <c r="O109" s="32" t="s">
        <v>1904</v>
      </c>
      <c r="P109" s="32" t="s">
        <v>41</v>
      </c>
      <c r="Q109" s="28"/>
      <c r="R109" s="27">
        <v>42408</v>
      </c>
      <c r="S109" s="28" t="s">
        <v>1775</v>
      </c>
    </row>
    <row r="110" spans="1:19" x14ac:dyDescent="0.25">
      <c r="A110" s="27">
        <v>42178</v>
      </c>
      <c r="B110" s="27">
        <v>42389</v>
      </c>
      <c r="C110" s="28" t="s">
        <v>1781</v>
      </c>
      <c r="D110" s="29" t="s">
        <v>1401</v>
      </c>
      <c r="E110" s="28" t="s">
        <v>892</v>
      </c>
      <c r="F110" s="30">
        <v>1075043</v>
      </c>
      <c r="G110" s="30">
        <v>1379364</v>
      </c>
      <c r="H110" s="30">
        <v>0</v>
      </c>
      <c r="I110" s="30">
        <v>0</v>
      </c>
      <c r="J110" s="30">
        <v>1075043</v>
      </c>
      <c r="K110" s="30">
        <v>-872000</v>
      </c>
      <c r="L110" s="31" t="s">
        <v>863</v>
      </c>
      <c r="M110" s="28" t="s">
        <v>1191</v>
      </c>
      <c r="N110" s="28" t="s">
        <v>1561</v>
      </c>
      <c r="O110" s="32" t="s">
        <v>1997</v>
      </c>
      <c r="P110" s="32" t="s">
        <v>2078</v>
      </c>
      <c r="Q110" s="28"/>
      <c r="R110" s="27">
        <v>42408</v>
      </c>
      <c r="S110" s="28" t="s">
        <v>1775</v>
      </c>
    </row>
    <row r="111" spans="1:19" x14ac:dyDescent="0.25">
      <c r="A111" s="27">
        <v>42636</v>
      </c>
      <c r="B111" s="27">
        <v>42636</v>
      </c>
      <c r="C111" s="28" t="s">
        <v>653</v>
      </c>
      <c r="D111" s="29" t="s">
        <v>2079</v>
      </c>
      <c r="E111" s="28" t="s">
        <v>889</v>
      </c>
      <c r="F111" s="30">
        <v>0</v>
      </c>
      <c r="G111" s="30">
        <v>0</v>
      </c>
      <c r="H111" s="30">
        <v>102000</v>
      </c>
      <c r="I111" s="30">
        <v>127500</v>
      </c>
      <c r="J111" s="30">
        <v>0</v>
      </c>
      <c r="K111" s="30">
        <v>102000</v>
      </c>
      <c r="L111" s="31" t="s">
        <v>2080</v>
      </c>
      <c r="M111" s="28" t="s">
        <v>177</v>
      </c>
      <c r="N111" s="28" t="s">
        <v>2081</v>
      </c>
      <c r="O111" s="32" t="s">
        <v>2082</v>
      </c>
      <c r="P111" s="32" t="s">
        <v>2083</v>
      </c>
      <c r="Q111" s="28"/>
      <c r="R111" s="27">
        <v>42657</v>
      </c>
      <c r="S111" s="28" t="s">
        <v>1775</v>
      </c>
    </row>
    <row r="112" spans="1:19" x14ac:dyDescent="0.25">
      <c r="A112" s="27">
        <v>42223</v>
      </c>
      <c r="B112" s="27">
        <v>42636</v>
      </c>
      <c r="C112" s="28" t="s">
        <v>1781</v>
      </c>
      <c r="D112" s="29" t="s">
        <v>2084</v>
      </c>
      <c r="E112" s="28" t="s">
        <v>884</v>
      </c>
      <c r="F112" s="30">
        <v>120000</v>
      </c>
      <c r="G112" s="30">
        <v>150000</v>
      </c>
      <c r="H112" s="30">
        <v>0</v>
      </c>
      <c r="I112" s="30">
        <v>0</v>
      </c>
      <c r="J112" s="30">
        <v>120000</v>
      </c>
      <c r="K112" s="30">
        <v>150000</v>
      </c>
      <c r="L112" s="31" t="s">
        <v>2085</v>
      </c>
      <c r="M112" s="28" t="s">
        <v>177</v>
      </c>
      <c r="N112" s="28" t="s">
        <v>2086</v>
      </c>
      <c r="O112" s="32" t="s">
        <v>1904</v>
      </c>
      <c r="P112" s="32" t="s">
        <v>967</v>
      </c>
      <c r="Q112" s="28"/>
      <c r="R112" s="27">
        <v>42657</v>
      </c>
      <c r="S112" s="28" t="s">
        <v>1775</v>
      </c>
    </row>
    <row r="113" spans="1:19" x14ac:dyDescent="0.25">
      <c r="A113" s="27">
        <v>42194</v>
      </c>
      <c r="B113" s="27">
        <v>42494</v>
      </c>
      <c r="C113" s="28" t="s">
        <v>1781</v>
      </c>
      <c r="D113" s="29" t="s">
        <v>2087</v>
      </c>
      <c r="E113" s="28" t="s">
        <v>889</v>
      </c>
      <c r="F113" s="30">
        <v>155155</v>
      </c>
      <c r="G113" s="30">
        <v>193944</v>
      </c>
      <c r="H113" s="30">
        <v>0</v>
      </c>
      <c r="I113" s="30">
        <v>0</v>
      </c>
      <c r="J113" s="30">
        <v>155155</v>
      </c>
      <c r="K113" s="30">
        <v>-155155</v>
      </c>
      <c r="L113" s="31" t="s">
        <v>2088</v>
      </c>
      <c r="M113" s="28" t="s">
        <v>212</v>
      </c>
      <c r="N113" s="28" t="s">
        <v>2089</v>
      </c>
      <c r="O113" s="32" t="s">
        <v>2090</v>
      </c>
      <c r="P113" s="32" t="s">
        <v>2091</v>
      </c>
      <c r="Q113" s="28"/>
      <c r="R113" s="27">
        <v>42496</v>
      </c>
      <c r="S113" s="28" t="s">
        <v>1775</v>
      </c>
    </row>
    <row r="114" spans="1:19" x14ac:dyDescent="0.25">
      <c r="A114" s="27">
        <v>42081</v>
      </c>
      <c r="B114" s="27">
        <v>42494</v>
      </c>
      <c r="C114" s="28" t="s">
        <v>1781</v>
      </c>
      <c r="D114" s="29" t="s">
        <v>2092</v>
      </c>
      <c r="E114" s="28" t="s">
        <v>889</v>
      </c>
      <c r="F114" s="30">
        <v>151720</v>
      </c>
      <c r="G114" s="30">
        <v>218171</v>
      </c>
      <c r="H114" s="30">
        <v>0</v>
      </c>
      <c r="I114" s="30">
        <v>0</v>
      </c>
      <c r="J114" s="30">
        <v>150720</v>
      </c>
      <c r="K114" s="30">
        <v>-150720</v>
      </c>
      <c r="L114" s="31" t="s">
        <v>2093</v>
      </c>
      <c r="M114" s="28" t="s">
        <v>1191</v>
      </c>
      <c r="N114" s="28" t="s">
        <v>2094</v>
      </c>
      <c r="O114" s="32" t="s">
        <v>2095</v>
      </c>
      <c r="P114" s="32" t="s">
        <v>2096</v>
      </c>
      <c r="Q114" s="28"/>
      <c r="R114" s="27">
        <v>42508</v>
      </c>
      <c r="S114" s="28" t="s">
        <v>1775</v>
      </c>
    </row>
    <row r="115" spans="1:19" ht="30" x14ac:dyDescent="0.25">
      <c r="A115" s="27">
        <v>40577</v>
      </c>
      <c r="B115" s="27">
        <v>42391</v>
      </c>
      <c r="C115" s="28" t="s">
        <v>1754</v>
      </c>
      <c r="D115" s="29" t="s">
        <v>2097</v>
      </c>
      <c r="E115" s="28" t="s">
        <v>890</v>
      </c>
      <c r="F115" s="30">
        <v>2449841.7999999998</v>
      </c>
      <c r="G115" s="30">
        <v>3062302.26</v>
      </c>
      <c r="H115" s="30">
        <v>0</v>
      </c>
      <c r="I115" s="30">
        <f>F115-2449803.94</f>
        <v>37.859999999869615</v>
      </c>
      <c r="J115" s="30">
        <f>G115-3062254.93</f>
        <v>47.329999999608845</v>
      </c>
      <c r="K115" s="30">
        <v>0</v>
      </c>
      <c r="L115" s="31" t="s">
        <v>2098</v>
      </c>
      <c r="M115" s="28" t="s">
        <v>1191</v>
      </c>
      <c r="N115" s="28" t="s">
        <v>2099</v>
      </c>
      <c r="O115" s="32" t="s">
        <v>75</v>
      </c>
      <c r="P115" s="32" t="s">
        <v>2100</v>
      </c>
      <c r="Q115" s="28"/>
      <c r="R115" s="27">
        <v>42405</v>
      </c>
      <c r="S115" s="28" t="s">
        <v>1775</v>
      </c>
    </row>
    <row r="116" spans="1:19" ht="30" x14ac:dyDescent="0.25">
      <c r="A116" s="27">
        <v>40879</v>
      </c>
      <c r="B116" s="27">
        <v>42381</v>
      </c>
      <c r="C116" s="28" t="s">
        <v>1754</v>
      </c>
      <c r="D116" s="29" t="s">
        <v>2101</v>
      </c>
      <c r="E116" s="28" t="s">
        <v>884</v>
      </c>
      <c r="F116" s="30">
        <v>1740990</v>
      </c>
      <c r="G116" s="30">
        <v>2201872</v>
      </c>
      <c r="H116" s="30">
        <v>0</v>
      </c>
      <c r="I116" s="30">
        <v>0</v>
      </c>
      <c r="J116" s="30">
        <v>0</v>
      </c>
      <c r="K116" s="30">
        <v>0</v>
      </c>
      <c r="L116" s="31" t="s">
        <v>2102</v>
      </c>
      <c r="M116" s="28" t="s">
        <v>1191</v>
      </c>
      <c r="N116" s="28" t="s">
        <v>2103</v>
      </c>
      <c r="O116" s="32" t="s">
        <v>1209</v>
      </c>
      <c r="P116" s="32" t="s">
        <v>2104</v>
      </c>
      <c r="Q116" s="32" t="s">
        <v>2105</v>
      </c>
      <c r="R116" s="27">
        <v>42408</v>
      </c>
      <c r="S116" s="28" t="s">
        <v>1775</v>
      </c>
    </row>
    <row r="117" spans="1:19" ht="30" x14ac:dyDescent="0.25">
      <c r="A117" s="27">
        <v>42227</v>
      </c>
      <c r="B117" s="27">
        <v>42428</v>
      </c>
      <c r="C117" s="28" t="s">
        <v>1781</v>
      </c>
      <c r="D117" s="29" t="s">
        <v>2106</v>
      </c>
      <c r="E117" s="28" t="s">
        <v>889</v>
      </c>
      <c r="F117" s="30">
        <v>1836396</v>
      </c>
      <c r="G117" s="30">
        <v>2316813</v>
      </c>
      <c r="H117" s="30">
        <v>0</v>
      </c>
      <c r="I117" s="30">
        <v>0</v>
      </c>
      <c r="J117" s="30">
        <v>1836396</v>
      </c>
      <c r="K117" s="30">
        <v>-1836396</v>
      </c>
      <c r="L117" s="31" t="s">
        <v>2107</v>
      </c>
      <c r="M117" s="28" t="s">
        <v>1191</v>
      </c>
      <c r="N117" s="28" t="s">
        <v>2108</v>
      </c>
      <c r="O117" s="32" t="s">
        <v>1209</v>
      </c>
      <c r="P117" s="32" t="s">
        <v>2109</v>
      </c>
      <c r="Q117" s="32"/>
      <c r="R117" s="27">
        <v>42453</v>
      </c>
      <c r="S117" s="28" t="s">
        <v>1775</v>
      </c>
    </row>
    <row r="118" spans="1:19" x14ac:dyDescent="0.25">
      <c r="A118" s="27">
        <v>41211</v>
      </c>
      <c r="B118" s="27">
        <v>42492</v>
      </c>
      <c r="C118" s="28" t="s">
        <v>1754</v>
      </c>
      <c r="D118" s="29" t="s">
        <v>2110</v>
      </c>
      <c r="E118" s="28" t="s">
        <v>884</v>
      </c>
      <c r="F118" s="30">
        <v>58228</v>
      </c>
      <c r="G118" s="30">
        <v>72785</v>
      </c>
      <c r="H118" s="30">
        <v>0</v>
      </c>
      <c r="I118" s="30">
        <v>0</v>
      </c>
      <c r="J118" s="30">
        <v>-101772</v>
      </c>
      <c r="K118" s="30">
        <v>0</v>
      </c>
      <c r="L118" s="31" t="s">
        <v>2111</v>
      </c>
      <c r="M118" s="28" t="s">
        <v>73</v>
      </c>
      <c r="N118" s="28" t="s">
        <v>2112</v>
      </c>
      <c r="O118" s="32"/>
      <c r="P118" s="32" t="s">
        <v>2113</v>
      </c>
      <c r="Q118" s="32"/>
      <c r="R118" s="27">
        <v>42508</v>
      </c>
      <c r="S118" s="28" t="s">
        <v>1775</v>
      </c>
    </row>
    <row r="119" spans="1:19" ht="30" x14ac:dyDescent="0.25">
      <c r="A119" s="27">
        <v>42031</v>
      </c>
      <c r="B119" s="27">
        <v>42326</v>
      </c>
      <c r="C119" s="28" t="s">
        <v>1781</v>
      </c>
      <c r="D119" s="29" t="s">
        <v>2114</v>
      </c>
      <c r="E119" s="28" t="s">
        <v>884</v>
      </c>
      <c r="F119" s="30">
        <v>584773</v>
      </c>
      <c r="G119" s="30">
        <v>730966</v>
      </c>
      <c r="H119" s="30">
        <v>0</v>
      </c>
      <c r="I119" s="30">
        <v>0</v>
      </c>
      <c r="J119" s="30">
        <v>584773</v>
      </c>
      <c r="K119" s="30">
        <v>-584773</v>
      </c>
      <c r="L119" s="31" t="s">
        <v>2115</v>
      </c>
      <c r="M119" s="28" t="s">
        <v>1191</v>
      </c>
      <c r="N119" s="28" t="s">
        <v>2116</v>
      </c>
      <c r="O119" s="32" t="s">
        <v>1209</v>
      </c>
      <c r="P119" s="32" t="s">
        <v>2117</v>
      </c>
      <c r="Q119" s="28"/>
      <c r="R119" s="27">
        <v>42328</v>
      </c>
      <c r="S119" s="28" t="s">
        <v>1775</v>
      </c>
    </row>
    <row r="120" spans="1:19" x14ac:dyDescent="0.25">
      <c r="A120" s="27">
        <v>40668</v>
      </c>
      <c r="B120" s="27">
        <v>42313</v>
      </c>
      <c r="C120" s="28" t="s">
        <v>1754</v>
      </c>
      <c r="D120" s="29">
        <v>9003205</v>
      </c>
      <c r="E120" s="28" t="s">
        <v>890</v>
      </c>
      <c r="F120" s="30">
        <v>448279.03</v>
      </c>
      <c r="G120" s="30">
        <v>560348.82999999996</v>
      </c>
      <c r="H120" s="30">
        <v>0</v>
      </c>
      <c r="I120" s="30">
        <v>0</v>
      </c>
      <c r="J120" s="30">
        <f>F120-477883</f>
        <v>-29603.969999999972</v>
      </c>
      <c r="K120" s="30">
        <v>0</v>
      </c>
      <c r="L120" s="31" t="s">
        <v>847</v>
      </c>
      <c r="M120" s="28" t="s">
        <v>72</v>
      </c>
      <c r="N120" s="28" t="s">
        <v>2118</v>
      </c>
      <c r="O120" s="32" t="s">
        <v>1904</v>
      </c>
      <c r="P120" s="32" t="s">
        <v>1066</v>
      </c>
      <c r="Q120" s="28"/>
      <c r="R120" s="27">
        <v>42325</v>
      </c>
      <c r="S120" s="28" t="s">
        <v>1775</v>
      </c>
    </row>
    <row r="121" spans="1:19" ht="45" x14ac:dyDescent="0.25">
      <c r="A121" s="27">
        <v>40249</v>
      </c>
      <c r="B121" s="27">
        <v>42381</v>
      </c>
      <c r="C121" s="28" t="s">
        <v>1754</v>
      </c>
      <c r="D121" s="29" t="s">
        <v>1425</v>
      </c>
      <c r="E121" s="28" t="s">
        <v>890</v>
      </c>
      <c r="F121" s="30">
        <v>233679.87</v>
      </c>
      <c r="G121" s="30">
        <v>292099.86</v>
      </c>
      <c r="H121" s="30">
        <v>0</v>
      </c>
      <c r="I121" s="30">
        <v>0</v>
      </c>
      <c r="J121" s="30">
        <v>0</v>
      </c>
      <c r="K121" s="30">
        <v>0</v>
      </c>
      <c r="L121" s="31" t="s">
        <v>847</v>
      </c>
      <c r="M121" s="28" t="s">
        <v>212</v>
      </c>
      <c r="N121" s="28" t="s">
        <v>1585</v>
      </c>
      <c r="O121" s="32" t="s">
        <v>1904</v>
      </c>
      <c r="P121" s="32" t="s">
        <v>2119</v>
      </c>
      <c r="Q121" s="32" t="s">
        <v>2120</v>
      </c>
      <c r="R121" s="27">
        <v>42408</v>
      </c>
      <c r="S121" s="28" t="s">
        <v>1775</v>
      </c>
    </row>
    <row r="122" spans="1:19" x14ac:dyDescent="0.25">
      <c r="A122" s="27">
        <v>41449</v>
      </c>
      <c r="B122" s="27">
        <v>42467</v>
      </c>
      <c r="C122" s="28" t="s">
        <v>1754</v>
      </c>
      <c r="D122" s="29" t="s">
        <v>2121</v>
      </c>
      <c r="E122" s="28" t="s">
        <v>884</v>
      </c>
      <c r="F122" s="30">
        <v>96697.46</v>
      </c>
      <c r="G122" s="30">
        <v>120871.83</v>
      </c>
      <c r="H122" s="30">
        <v>0</v>
      </c>
      <c r="I122" s="30">
        <v>0</v>
      </c>
      <c r="J122" s="30">
        <v>-8902.5400000000009</v>
      </c>
      <c r="K122" s="30">
        <v>0</v>
      </c>
      <c r="L122" s="31" t="s">
        <v>2122</v>
      </c>
      <c r="M122" s="28" t="s">
        <v>1191</v>
      </c>
      <c r="N122" s="28" t="s">
        <v>2123</v>
      </c>
      <c r="O122" s="32" t="s">
        <v>1901</v>
      </c>
      <c r="P122" s="32" t="s">
        <v>2124</v>
      </c>
      <c r="Q122" s="32"/>
      <c r="R122" s="27">
        <v>42488</v>
      </c>
      <c r="S122" s="28" t="s">
        <v>1775</v>
      </c>
    </row>
    <row r="123" spans="1:19" x14ac:dyDescent="0.25">
      <c r="A123" s="27">
        <v>41064</v>
      </c>
      <c r="B123" s="27">
        <v>42516</v>
      </c>
      <c r="C123" s="28" t="s">
        <v>1754</v>
      </c>
      <c r="D123" s="29" t="s">
        <v>2125</v>
      </c>
      <c r="E123" s="28" t="s">
        <v>890</v>
      </c>
      <c r="F123" s="30">
        <v>76656.33</v>
      </c>
      <c r="G123" s="30">
        <v>95820.42</v>
      </c>
      <c r="H123" s="30">
        <v>0</v>
      </c>
      <c r="I123" s="30">
        <v>0</v>
      </c>
      <c r="J123" s="30">
        <v>-25870.67</v>
      </c>
      <c r="K123" s="30">
        <v>0</v>
      </c>
      <c r="L123" s="31" t="s">
        <v>2126</v>
      </c>
      <c r="M123" s="28" t="s">
        <v>212</v>
      </c>
      <c r="N123" s="28" t="s">
        <v>2127</v>
      </c>
      <c r="O123" s="32" t="s">
        <v>212</v>
      </c>
      <c r="P123" s="32"/>
      <c r="Q123" s="32"/>
      <c r="R123" s="27">
        <v>42537</v>
      </c>
      <c r="S123" s="28" t="s">
        <v>1775</v>
      </c>
    </row>
    <row r="124" spans="1:19" x14ac:dyDescent="0.25">
      <c r="A124" s="27">
        <v>40877</v>
      </c>
      <c r="B124" s="27">
        <v>42317</v>
      </c>
      <c r="C124" s="28" t="s">
        <v>1754</v>
      </c>
      <c r="D124" s="29" t="s">
        <v>2128</v>
      </c>
      <c r="E124" s="28" t="s">
        <v>884</v>
      </c>
      <c r="F124" s="30">
        <v>1060644.19</v>
      </c>
      <c r="G124" s="30">
        <v>1325805.31</v>
      </c>
      <c r="H124" s="30">
        <v>0</v>
      </c>
      <c r="I124" s="30">
        <v>0</v>
      </c>
      <c r="J124" s="30">
        <f>F124-1068664</f>
        <v>-8019.8100000000559</v>
      </c>
      <c r="K124" s="30">
        <v>0</v>
      </c>
      <c r="L124" s="31" t="s">
        <v>2129</v>
      </c>
      <c r="M124" s="28" t="s">
        <v>72</v>
      </c>
      <c r="N124" s="28" t="s">
        <v>2130</v>
      </c>
      <c r="O124" s="32"/>
      <c r="P124" s="32" t="s">
        <v>2131</v>
      </c>
      <c r="Q124" s="28"/>
      <c r="R124" s="27">
        <v>42325</v>
      </c>
      <c r="S124" s="28" t="s">
        <v>1775</v>
      </c>
    </row>
    <row r="125" spans="1:19" ht="30" x14ac:dyDescent="0.25">
      <c r="A125" s="27">
        <v>41562</v>
      </c>
      <c r="B125" s="27">
        <v>42416</v>
      </c>
      <c r="C125" s="28" t="s">
        <v>1781</v>
      </c>
      <c r="D125" s="29" t="s">
        <v>2132</v>
      </c>
      <c r="E125" s="28" t="s">
        <v>889</v>
      </c>
      <c r="F125" s="30">
        <v>855200</v>
      </c>
      <c r="G125" s="30">
        <v>1069000</v>
      </c>
      <c r="H125" s="30">
        <v>0</v>
      </c>
      <c r="I125" s="30">
        <v>0</v>
      </c>
      <c r="J125" s="30">
        <v>855200</v>
      </c>
      <c r="K125" s="30">
        <v>-855200</v>
      </c>
      <c r="L125" s="31" t="s">
        <v>2133</v>
      </c>
      <c r="M125" s="28" t="s">
        <v>1191</v>
      </c>
      <c r="N125" s="28" t="s">
        <v>2134</v>
      </c>
      <c r="O125" s="32" t="s">
        <v>2135</v>
      </c>
      <c r="P125" s="32" t="s">
        <v>2136</v>
      </c>
      <c r="Q125" s="28"/>
      <c r="R125" s="27">
        <v>42453</v>
      </c>
      <c r="S125" s="28" t="s">
        <v>1775</v>
      </c>
    </row>
    <row r="126" spans="1:19" ht="30" x14ac:dyDescent="0.25">
      <c r="A126" s="27">
        <v>41344</v>
      </c>
      <c r="B126" s="27">
        <v>42446</v>
      </c>
      <c r="C126" s="28" t="s">
        <v>1754</v>
      </c>
      <c r="D126" s="29" t="s">
        <v>1334</v>
      </c>
      <c r="E126" s="28" t="s">
        <v>884</v>
      </c>
      <c r="F126" s="30">
        <v>1209736.98</v>
      </c>
      <c r="G126" s="30">
        <v>1519199.37</v>
      </c>
      <c r="H126" s="30">
        <v>0</v>
      </c>
      <c r="I126" s="30">
        <v>0</v>
      </c>
      <c r="J126" s="30">
        <v>48600</v>
      </c>
      <c r="K126" s="30">
        <v>0</v>
      </c>
      <c r="L126" s="31" t="s">
        <v>775</v>
      </c>
      <c r="M126" s="28" t="s">
        <v>1191</v>
      </c>
      <c r="N126" s="28" t="s">
        <v>1494</v>
      </c>
      <c r="O126" s="32" t="s">
        <v>1904</v>
      </c>
      <c r="P126" s="32" t="s">
        <v>2137</v>
      </c>
      <c r="Q126" s="28"/>
      <c r="R126" s="27">
        <v>42453</v>
      </c>
      <c r="S126" s="28" t="s">
        <v>1775</v>
      </c>
    </row>
    <row r="127" spans="1:19" x14ac:dyDescent="0.25">
      <c r="A127" s="27">
        <v>41255</v>
      </c>
      <c r="B127" s="27">
        <v>42360</v>
      </c>
      <c r="C127" s="28" t="s">
        <v>1754</v>
      </c>
      <c r="D127" s="29" t="s">
        <v>2138</v>
      </c>
      <c r="E127" s="28" t="s">
        <v>884</v>
      </c>
      <c r="F127" s="30">
        <v>76514.679999999993</v>
      </c>
      <c r="G127" s="30">
        <v>95643.34</v>
      </c>
      <c r="H127" s="30">
        <v>0</v>
      </c>
      <c r="I127" s="30">
        <v>0</v>
      </c>
      <c r="J127" s="30">
        <v>-7195.32</v>
      </c>
      <c r="K127" s="30">
        <v>0</v>
      </c>
      <c r="L127" s="31" t="s">
        <v>2139</v>
      </c>
      <c r="M127" s="28" t="s">
        <v>117</v>
      </c>
      <c r="N127" s="28" t="s">
        <v>2140</v>
      </c>
      <c r="O127" s="32"/>
      <c r="P127" s="32"/>
      <c r="Q127" s="28"/>
      <c r="R127" s="27">
        <v>42360</v>
      </c>
      <c r="S127" s="28" t="s">
        <v>1775</v>
      </c>
    </row>
    <row r="128" spans="1:19" x14ac:dyDescent="0.25">
      <c r="A128" s="27">
        <v>41764</v>
      </c>
      <c r="B128" s="27">
        <v>42586</v>
      </c>
      <c r="C128" s="28" t="s">
        <v>1754</v>
      </c>
      <c r="D128" s="29" t="s">
        <v>1416</v>
      </c>
      <c r="E128" s="28" t="s">
        <v>884</v>
      </c>
      <c r="F128" s="30">
        <v>211980.76</v>
      </c>
      <c r="G128" s="30">
        <v>264975.96999999997</v>
      </c>
      <c r="H128" s="30">
        <v>0</v>
      </c>
      <c r="I128" s="30">
        <v>0</v>
      </c>
      <c r="J128" s="30">
        <v>7247.76</v>
      </c>
      <c r="K128" s="30">
        <v>0</v>
      </c>
      <c r="L128" s="31" t="s">
        <v>840</v>
      </c>
      <c r="M128" s="28" t="s">
        <v>1191</v>
      </c>
      <c r="N128" s="28" t="s">
        <v>1576</v>
      </c>
      <c r="O128" s="32" t="s">
        <v>80</v>
      </c>
      <c r="P128" s="32" t="s">
        <v>2141</v>
      </c>
      <c r="Q128" s="28"/>
      <c r="R128" s="27">
        <v>42598</v>
      </c>
      <c r="S128" s="28" t="s">
        <v>1775</v>
      </c>
    </row>
    <row r="129" spans="1:19" x14ac:dyDescent="0.25">
      <c r="A129" s="27">
        <v>41841</v>
      </c>
      <c r="B129" s="27">
        <v>42396</v>
      </c>
      <c r="C129" s="28" t="s">
        <v>1781</v>
      </c>
      <c r="D129" s="29" t="s">
        <v>2142</v>
      </c>
      <c r="E129" s="28" t="s">
        <v>884</v>
      </c>
      <c r="F129" s="30">
        <v>67000</v>
      </c>
      <c r="G129" s="30">
        <v>84000</v>
      </c>
      <c r="H129" s="30">
        <v>0</v>
      </c>
      <c r="I129" s="30">
        <v>0</v>
      </c>
      <c r="J129" s="30">
        <v>67000</v>
      </c>
      <c r="K129" s="30">
        <v>-67000</v>
      </c>
      <c r="L129" s="31" t="s">
        <v>2143</v>
      </c>
      <c r="M129" s="28" t="s">
        <v>1191</v>
      </c>
      <c r="N129" s="28" t="s">
        <v>2144</v>
      </c>
      <c r="O129" s="32" t="s">
        <v>2145</v>
      </c>
      <c r="P129" s="32" t="s">
        <v>2146</v>
      </c>
      <c r="Q129" s="28"/>
      <c r="R129" s="27">
        <v>42408</v>
      </c>
      <c r="S129" s="28" t="s">
        <v>1775</v>
      </c>
    </row>
    <row r="130" spans="1:19" x14ac:dyDescent="0.25">
      <c r="A130" s="27">
        <v>42069</v>
      </c>
      <c r="B130" s="27">
        <v>42404</v>
      </c>
      <c r="C130" s="28" t="s">
        <v>1781</v>
      </c>
      <c r="D130" s="29" t="s">
        <v>2147</v>
      </c>
      <c r="E130" s="28" t="s">
        <v>889</v>
      </c>
      <c r="F130" s="30">
        <v>356000</v>
      </c>
      <c r="G130" s="30">
        <v>584755</v>
      </c>
      <c r="H130" s="30">
        <v>0</v>
      </c>
      <c r="I130" s="30">
        <v>0</v>
      </c>
      <c r="J130" s="30">
        <v>356000</v>
      </c>
      <c r="K130" s="30">
        <v>-356000</v>
      </c>
      <c r="L130" s="31" t="s">
        <v>2148</v>
      </c>
      <c r="M130" s="28" t="s">
        <v>212</v>
      </c>
      <c r="N130" s="28" t="s">
        <v>2149</v>
      </c>
      <c r="O130" s="32" t="s">
        <v>1904</v>
      </c>
      <c r="P130" s="32" t="s">
        <v>2150</v>
      </c>
      <c r="Q130" s="28"/>
      <c r="R130" s="27">
        <v>42408</v>
      </c>
      <c r="S130" s="28" t="s">
        <v>1775</v>
      </c>
    </row>
    <row r="131" spans="1:19" x14ac:dyDescent="0.25">
      <c r="A131" s="27">
        <v>42081</v>
      </c>
      <c r="B131" s="27">
        <v>42531</v>
      </c>
      <c r="C131" s="28" t="s">
        <v>1755</v>
      </c>
      <c r="D131" s="29" t="s">
        <v>1340</v>
      </c>
      <c r="E131" s="28" t="s">
        <v>889</v>
      </c>
      <c r="F131" s="30">
        <v>0</v>
      </c>
      <c r="G131" s="30">
        <v>0</v>
      </c>
      <c r="H131" s="30">
        <v>4281712</v>
      </c>
      <c r="I131" s="30">
        <v>5824773</v>
      </c>
      <c r="J131" s="30">
        <v>0</v>
      </c>
      <c r="K131" s="30">
        <f>H131-2695712</f>
        <v>1586000</v>
      </c>
      <c r="L131" s="31" t="s">
        <v>780</v>
      </c>
      <c r="M131" s="28" t="s">
        <v>1191</v>
      </c>
      <c r="N131" s="28" t="s">
        <v>1500</v>
      </c>
      <c r="O131" s="32" t="s">
        <v>2151</v>
      </c>
      <c r="P131" s="32"/>
      <c r="Q131" s="28"/>
      <c r="R131" s="27">
        <v>42580</v>
      </c>
      <c r="S131" s="28" t="s">
        <v>1775</v>
      </c>
    </row>
    <row r="132" spans="1:19" x14ac:dyDescent="0.25">
      <c r="A132" s="27">
        <v>42081</v>
      </c>
      <c r="B132" s="27">
        <v>42580</v>
      </c>
      <c r="C132" s="28" t="s">
        <v>1781</v>
      </c>
      <c r="D132" s="29" t="s">
        <v>1340</v>
      </c>
      <c r="E132" s="28" t="s">
        <v>889</v>
      </c>
      <c r="F132" s="30">
        <v>4281712</v>
      </c>
      <c r="G132" s="30">
        <v>5824773</v>
      </c>
      <c r="H132" s="30">
        <v>0</v>
      </c>
      <c r="I132" s="30">
        <v>0</v>
      </c>
      <c r="J132" s="30">
        <v>4281712</v>
      </c>
      <c r="K132" s="30">
        <v>-4281712</v>
      </c>
      <c r="L132" s="31" t="s">
        <v>780</v>
      </c>
      <c r="M132" s="28" t="s">
        <v>1191</v>
      </c>
      <c r="N132" s="28" t="s">
        <v>1500</v>
      </c>
      <c r="O132" s="32" t="s">
        <v>2151</v>
      </c>
      <c r="P132" s="32"/>
      <c r="Q132" s="28"/>
      <c r="R132" s="27">
        <v>42580</v>
      </c>
      <c r="S132" s="28" t="s">
        <v>1775</v>
      </c>
    </row>
    <row r="133" spans="1:19" x14ac:dyDescent="0.25">
      <c r="A133" s="27">
        <v>40577</v>
      </c>
      <c r="B133" s="27">
        <v>42548</v>
      </c>
      <c r="C133" s="28" t="s">
        <v>1754</v>
      </c>
      <c r="D133" s="29" t="s">
        <v>2152</v>
      </c>
      <c r="E133" s="28" t="s">
        <v>890</v>
      </c>
      <c r="F133" s="30">
        <v>893723.92</v>
      </c>
      <c r="G133" s="30">
        <v>1117281.6000000001</v>
      </c>
      <c r="H133" s="30">
        <v>0</v>
      </c>
      <c r="I133" s="30">
        <v>0</v>
      </c>
      <c r="J133" s="30">
        <v>0</v>
      </c>
      <c r="K133" s="30">
        <v>-67584.08</v>
      </c>
      <c r="L133" s="31" t="s">
        <v>2153</v>
      </c>
      <c r="M133" s="28" t="s">
        <v>1191</v>
      </c>
      <c r="N133" s="28" t="s">
        <v>2154</v>
      </c>
      <c r="O133" s="32" t="s">
        <v>2155</v>
      </c>
      <c r="P133" s="32"/>
      <c r="Q133" s="28"/>
      <c r="R133" s="27">
        <v>42598</v>
      </c>
      <c r="S133" s="28" t="s">
        <v>1775</v>
      </c>
    </row>
    <row r="134" spans="1:19" x14ac:dyDescent="0.25">
      <c r="A134" s="27">
        <v>41064</v>
      </c>
      <c r="B134" s="27">
        <v>42492</v>
      </c>
      <c r="C134" s="28" t="s">
        <v>1754</v>
      </c>
      <c r="D134" s="29" t="s">
        <v>2156</v>
      </c>
      <c r="E134" s="28" t="s">
        <v>890</v>
      </c>
      <c r="F134" s="30">
        <v>471460.69</v>
      </c>
      <c r="G134" s="30">
        <v>589325.85</v>
      </c>
      <c r="H134" s="30">
        <v>0</v>
      </c>
      <c r="I134" s="30">
        <v>0</v>
      </c>
      <c r="J134" s="30">
        <v>-0.31</v>
      </c>
      <c r="K134" s="30">
        <v>0</v>
      </c>
      <c r="L134" s="31" t="s">
        <v>2157</v>
      </c>
      <c r="M134" s="28" t="s">
        <v>212</v>
      </c>
      <c r="N134" s="28" t="s">
        <v>2158</v>
      </c>
      <c r="O134" s="32"/>
      <c r="P134" s="32" t="s">
        <v>2159</v>
      </c>
      <c r="Q134" s="28"/>
      <c r="R134" s="27">
        <v>42508</v>
      </c>
      <c r="S134" s="28" t="s">
        <v>1775</v>
      </c>
    </row>
    <row r="135" spans="1:19" ht="30" x14ac:dyDescent="0.25">
      <c r="A135" s="27">
        <v>42080</v>
      </c>
      <c r="B135" s="27">
        <v>42404</v>
      </c>
      <c r="C135" s="28" t="s">
        <v>1781</v>
      </c>
      <c r="D135" s="29" t="s">
        <v>2160</v>
      </c>
      <c r="E135" s="28" t="s">
        <v>889</v>
      </c>
      <c r="F135" s="30">
        <v>694224</v>
      </c>
      <c r="G135" s="30">
        <v>1334037</v>
      </c>
      <c r="H135" s="30">
        <v>0</v>
      </c>
      <c r="I135" s="30">
        <v>0</v>
      </c>
      <c r="J135" s="30">
        <v>694224</v>
      </c>
      <c r="K135" s="30">
        <v>-694224</v>
      </c>
      <c r="L135" s="31" t="s">
        <v>2161</v>
      </c>
      <c r="M135" s="28" t="s">
        <v>1191</v>
      </c>
      <c r="N135" s="28" t="s">
        <v>2162</v>
      </c>
      <c r="O135" s="32" t="s">
        <v>75</v>
      </c>
      <c r="P135" s="32" t="s">
        <v>2163</v>
      </c>
      <c r="Q135" s="28"/>
      <c r="R135" s="27">
        <v>42408</v>
      </c>
      <c r="S135" s="28" t="s">
        <v>1775</v>
      </c>
    </row>
    <row r="136" spans="1:19" x14ac:dyDescent="0.25">
      <c r="A136" s="27">
        <v>40668</v>
      </c>
      <c r="B136" s="27">
        <v>42391</v>
      </c>
      <c r="C136" s="28" t="s">
        <v>1754</v>
      </c>
      <c r="D136" s="29" t="s">
        <v>2164</v>
      </c>
      <c r="E136" s="28" t="s">
        <v>890</v>
      </c>
      <c r="F136" s="30">
        <v>753560.24</v>
      </c>
      <c r="G136" s="30">
        <v>942077.42</v>
      </c>
      <c r="H136" s="30">
        <v>0</v>
      </c>
      <c r="I136" s="30">
        <v>0</v>
      </c>
      <c r="J136" s="30">
        <v>0</v>
      </c>
      <c r="K136" s="30">
        <v>0</v>
      </c>
      <c r="L136" s="31" t="s">
        <v>2165</v>
      </c>
      <c r="M136" s="28" t="s">
        <v>1191</v>
      </c>
      <c r="N136" s="28" t="s">
        <v>2166</v>
      </c>
      <c r="O136" s="32" t="s">
        <v>1904</v>
      </c>
      <c r="P136" s="32" t="s">
        <v>2167</v>
      </c>
      <c r="Q136" s="28"/>
      <c r="R136" s="27">
        <v>42408</v>
      </c>
      <c r="S136" s="28" t="s">
        <v>1775</v>
      </c>
    </row>
    <row r="137" spans="1:19" x14ac:dyDescent="0.25">
      <c r="A137" s="27">
        <v>40324</v>
      </c>
      <c r="B137" s="27">
        <v>42488</v>
      </c>
      <c r="C137" s="28" t="s">
        <v>1754</v>
      </c>
      <c r="D137" s="29" t="s">
        <v>2168</v>
      </c>
      <c r="E137" s="28" t="s">
        <v>890</v>
      </c>
      <c r="F137" s="30">
        <v>2169166.75</v>
      </c>
      <c r="G137" s="30">
        <v>2733917.83</v>
      </c>
      <c r="H137" s="30">
        <v>0</v>
      </c>
      <c r="I137" s="30">
        <v>0</v>
      </c>
      <c r="J137" s="30">
        <f>2169166.75-2335947</f>
        <v>-166780.25</v>
      </c>
      <c r="K137" s="30">
        <v>0</v>
      </c>
      <c r="L137" s="31" t="s">
        <v>2169</v>
      </c>
      <c r="M137" s="28" t="s">
        <v>1191</v>
      </c>
      <c r="N137" s="28" t="s">
        <v>2170</v>
      </c>
      <c r="O137" s="32" t="s">
        <v>123</v>
      </c>
      <c r="P137" s="32" t="s">
        <v>2171</v>
      </c>
      <c r="Q137" s="28"/>
      <c r="R137" s="27">
        <v>42488</v>
      </c>
      <c r="S137" s="28" t="s">
        <v>1775</v>
      </c>
    </row>
    <row r="138" spans="1:19" x14ac:dyDescent="0.25">
      <c r="A138" s="27">
        <v>40249</v>
      </c>
      <c r="B138" s="27">
        <v>42480</v>
      </c>
      <c r="C138" s="28" t="s">
        <v>1754</v>
      </c>
      <c r="D138" s="29" t="s">
        <v>2172</v>
      </c>
      <c r="E138" s="28" t="s">
        <v>890</v>
      </c>
      <c r="F138" s="30">
        <f>2275692.52+130033.05</f>
        <v>2405725.5699999998</v>
      </c>
      <c r="G138" s="30">
        <f>2844615.82+163776.07</f>
        <v>3008391.8899999997</v>
      </c>
      <c r="H138" s="30">
        <v>0</v>
      </c>
      <c r="I138" s="30">
        <v>0</v>
      </c>
      <c r="J138" s="30">
        <f>2275692.52-2280586.55</f>
        <v>-4894.0299999997951</v>
      </c>
      <c r="K138" s="30">
        <v>0</v>
      </c>
      <c r="L138" s="31" t="s">
        <v>2173</v>
      </c>
      <c r="M138" s="28" t="s">
        <v>1191</v>
      </c>
      <c r="N138" s="28" t="s">
        <v>2174</v>
      </c>
      <c r="O138" s="32" t="s">
        <v>1904</v>
      </c>
      <c r="P138" s="32" t="s">
        <v>2175</v>
      </c>
      <c r="Q138" s="28"/>
      <c r="R138" s="27">
        <v>42488</v>
      </c>
      <c r="S138" s="28" t="s">
        <v>1775</v>
      </c>
    </row>
    <row r="139" spans="1:19" x14ac:dyDescent="0.25">
      <c r="A139" s="27">
        <v>40249</v>
      </c>
      <c r="B139" s="27">
        <v>42614</v>
      </c>
      <c r="C139" s="28" t="s">
        <v>2044</v>
      </c>
      <c r="D139" s="29" t="s">
        <v>2172</v>
      </c>
      <c r="E139" s="28" t="s">
        <v>890</v>
      </c>
      <c r="F139" s="30">
        <f>2275692.52+130033.05+1124.94</f>
        <v>2406850.5099999998</v>
      </c>
      <c r="G139" s="30">
        <f>2844615.81+163776.07+1406.18</f>
        <v>3009798.06</v>
      </c>
      <c r="H139" s="30">
        <v>0</v>
      </c>
      <c r="I139" s="30">
        <v>0</v>
      </c>
      <c r="J139" s="30">
        <v>1124.94</v>
      </c>
      <c r="K139" s="30">
        <v>0</v>
      </c>
      <c r="L139" s="31" t="s">
        <v>2173</v>
      </c>
      <c r="M139" s="28" t="s">
        <v>1191</v>
      </c>
      <c r="N139" s="28" t="s">
        <v>2174</v>
      </c>
      <c r="O139" s="32" t="s">
        <v>1904</v>
      </c>
      <c r="P139" s="32" t="s">
        <v>2175</v>
      </c>
      <c r="Q139" s="28"/>
      <c r="R139" s="27">
        <v>42657</v>
      </c>
      <c r="S139" s="28" t="s">
        <v>1775</v>
      </c>
    </row>
    <row r="140" spans="1:19" x14ac:dyDescent="0.25">
      <c r="A140" s="27">
        <v>40926</v>
      </c>
      <c r="B140" s="27">
        <v>42317</v>
      </c>
      <c r="C140" s="28" t="s">
        <v>1754</v>
      </c>
      <c r="D140" s="29" t="s">
        <v>2176</v>
      </c>
      <c r="E140" s="28" t="s">
        <v>884</v>
      </c>
      <c r="F140" s="30">
        <v>28118.82</v>
      </c>
      <c r="G140" s="30">
        <v>35148.519999999997</v>
      </c>
      <c r="H140" s="30">
        <v>0</v>
      </c>
      <c r="I140" s="30">
        <v>0</v>
      </c>
      <c r="J140" s="30">
        <f>F140-31573</f>
        <v>-3454.1800000000003</v>
      </c>
      <c r="K140" s="30">
        <v>0</v>
      </c>
      <c r="L140" s="31" t="s">
        <v>739</v>
      </c>
      <c r="M140" s="28" t="s">
        <v>212</v>
      </c>
      <c r="N140" s="28" t="s">
        <v>2177</v>
      </c>
      <c r="O140" s="32"/>
      <c r="P140" s="32" t="s">
        <v>2178</v>
      </c>
      <c r="Q140" s="28"/>
      <c r="R140" s="27">
        <v>42325</v>
      </c>
      <c r="S140" s="28" t="s">
        <v>1775</v>
      </c>
    </row>
    <row r="141" spans="1:19" x14ac:dyDescent="0.25">
      <c r="A141" s="27">
        <v>41081</v>
      </c>
      <c r="B141" s="27">
        <v>42481</v>
      </c>
      <c r="C141" s="28" t="s">
        <v>1754</v>
      </c>
      <c r="D141" s="29" t="s">
        <v>1296</v>
      </c>
      <c r="E141" s="28" t="s">
        <v>878</v>
      </c>
      <c r="F141" s="30">
        <v>313081.88</v>
      </c>
      <c r="G141" s="30">
        <v>391352.38</v>
      </c>
      <c r="H141" s="30">
        <v>0</v>
      </c>
      <c r="I141" s="30">
        <v>0</v>
      </c>
      <c r="J141" s="30">
        <v>1257.8800000000001</v>
      </c>
      <c r="K141" s="30">
        <v>0</v>
      </c>
      <c r="L141" s="31" t="s">
        <v>739</v>
      </c>
      <c r="M141" s="28" t="s">
        <v>1191</v>
      </c>
      <c r="N141" s="28" t="s">
        <v>1456</v>
      </c>
      <c r="O141" s="32" t="s">
        <v>1934</v>
      </c>
      <c r="P141" s="32" t="s">
        <v>984</v>
      </c>
      <c r="Q141" s="28"/>
      <c r="R141" s="27">
        <v>42488</v>
      </c>
      <c r="S141" s="28" t="s">
        <v>1775</v>
      </c>
    </row>
    <row r="142" spans="1:19" x14ac:dyDescent="0.25">
      <c r="A142" s="27">
        <v>40515</v>
      </c>
      <c r="B142" s="27">
        <v>42502</v>
      </c>
      <c r="C142" s="28" t="s">
        <v>1754</v>
      </c>
      <c r="D142" s="29" t="s">
        <v>1322</v>
      </c>
      <c r="E142" s="28" t="s">
        <v>890</v>
      </c>
      <c r="F142" s="30">
        <v>1577414.13</v>
      </c>
      <c r="G142" s="30">
        <v>1980648.91</v>
      </c>
      <c r="H142" s="30">
        <v>0</v>
      </c>
      <c r="I142" s="30">
        <v>0</v>
      </c>
      <c r="J142" s="30">
        <v>819.42</v>
      </c>
      <c r="K142" s="30">
        <v>0</v>
      </c>
      <c r="L142" s="31" t="s">
        <v>763</v>
      </c>
      <c r="M142" s="28" t="s">
        <v>1191</v>
      </c>
      <c r="N142" s="28" t="s">
        <v>1482</v>
      </c>
      <c r="O142" s="32" t="s">
        <v>1904</v>
      </c>
      <c r="P142" s="32" t="s">
        <v>2179</v>
      </c>
      <c r="Q142" s="28"/>
      <c r="R142" s="27">
        <v>42508</v>
      </c>
      <c r="S142" s="28" t="s">
        <v>1775</v>
      </c>
    </row>
    <row r="143" spans="1:19" x14ac:dyDescent="0.25">
      <c r="A143" s="27">
        <v>40515</v>
      </c>
      <c r="B143" s="27">
        <v>42584</v>
      </c>
      <c r="C143" s="28" t="s">
        <v>2044</v>
      </c>
      <c r="D143" s="29" t="s">
        <v>1322</v>
      </c>
      <c r="E143" s="28" t="s">
        <v>890</v>
      </c>
      <c r="F143" s="30">
        <v>1580608.53</v>
      </c>
      <c r="G143" s="30">
        <v>1984641.92</v>
      </c>
      <c r="H143" s="30">
        <v>0</v>
      </c>
      <c r="I143" s="30">
        <v>0</v>
      </c>
      <c r="J143" s="30">
        <v>3194.4</v>
      </c>
      <c r="K143" s="30">
        <v>0</v>
      </c>
      <c r="L143" s="31" t="s">
        <v>763</v>
      </c>
      <c r="M143" s="28" t="s">
        <v>1191</v>
      </c>
      <c r="N143" s="28" t="s">
        <v>1482</v>
      </c>
      <c r="O143" s="32" t="s">
        <v>1904</v>
      </c>
      <c r="P143" s="32" t="s">
        <v>2179</v>
      </c>
      <c r="Q143" s="28"/>
      <c r="R143" s="27">
        <v>42598</v>
      </c>
      <c r="S143" s="28" t="s">
        <v>1775</v>
      </c>
    </row>
    <row r="144" spans="1:19" x14ac:dyDescent="0.25">
      <c r="A144" s="27">
        <v>40609</v>
      </c>
      <c r="B144" s="27">
        <v>42374</v>
      </c>
      <c r="C144" s="28" t="s">
        <v>1754</v>
      </c>
      <c r="D144" s="29" t="s">
        <v>2180</v>
      </c>
      <c r="E144" s="28" t="s">
        <v>1921</v>
      </c>
      <c r="F144" s="30">
        <f>175703.57+448011.47</f>
        <v>623715.04</v>
      </c>
      <c r="G144" s="30">
        <f>255026.07+563764.28</f>
        <v>818790.35000000009</v>
      </c>
      <c r="H144" s="30">
        <v>0</v>
      </c>
      <c r="I144" s="30">
        <v>0</v>
      </c>
      <c r="J144" s="30">
        <v>-53540.23</v>
      </c>
      <c r="K144" s="30">
        <v>0</v>
      </c>
      <c r="L144" s="31" t="s">
        <v>2181</v>
      </c>
      <c r="M144" s="28" t="s">
        <v>1191</v>
      </c>
      <c r="N144" s="28" t="s">
        <v>2182</v>
      </c>
      <c r="O144" s="32" t="s">
        <v>1904</v>
      </c>
      <c r="P144" s="32" t="s">
        <v>2183</v>
      </c>
      <c r="Q144" s="28"/>
      <c r="R144" s="27">
        <v>42405</v>
      </c>
      <c r="S144" s="28" t="s">
        <v>1775</v>
      </c>
    </row>
    <row r="145" spans="1:19" x14ac:dyDescent="0.25">
      <c r="A145" s="27">
        <v>40505</v>
      </c>
      <c r="B145" s="27">
        <v>42514</v>
      </c>
      <c r="C145" s="28" t="s">
        <v>1754</v>
      </c>
      <c r="D145" s="29" t="s">
        <v>2185</v>
      </c>
      <c r="E145" s="28" t="s">
        <v>890</v>
      </c>
      <c r="F145" s="30">
        <v>105045</v>
      </c>
      <c r="G145" s="30">
        <v>131307</v>
      </c>
      <c r="H145" s="30">
        <v>0</v>
      </c>
      <c r="I145" s="30">
        <v>0</v>
      </c>
      <c r="J145" s="30">
        <v>-0.24</v>
      </c>
      <c r="K145" s="30">
        <v>0</v>
      </c>
      <c r="L145" s="31" t="s">
        <v>2186</v>
      </c>
      <c r="M145" s="28" t="s">
        <v>2187</v>
      </c>
      <c r="N145" s="28" t="s">
        <v>2188</v>
      </c>
      <c r="O145" s="32" t="s">
        <v>35</v>
      </c>
      <c r="P145" s="32" t="s">
        <v>2189</v>
      </c>
      <c r="Q145" s="28"/>
      <c r="R145" s="27">
        <v>42536</v>
      </c>
      <c r="S145" s="28" t="s">
        <v>1775</v>
      </c>
    </row>
    <row r="146" spans="1:19" x14ac:dyDescent="0.25">
      <c r="A146" s="27">
        <v>40505</v>
      </c>
      <c r="B146" s="27">
        <v>42501</v>
      </c>
      <c r="C146" s="28" t="s">
        <v>1754</v>
      </c>
      <c r="D146" s="29" t="s">
        <v>2190</v>
      </c>
      <c r="E146" s="28" t="s">
        <v>890</v>
      </c>
      <c r="F146" s="30">
        <v>98478.14</v>
      </c>
      <c r="G146" s="30">
        <v>123097.69</v>
      </c>
      <c r="H146" s="30">
        <v>0</v>
      </c>
      <c r="I146" s="30">
        <v>0</v>
      </c>
      <c r="J146" s="30">
        <v>-13162.86</v>
      </c>
      <c r="K146" s="30">
        <v>0</v>
      </c>
      <c r="L146" s="31" t="s">
        <v>2191</v>
      </c>
      <c r="M146" s="28" t="s">
        <v>212</v>
      </c>
      <c r="N146" s="28" t="s">
        <v>2192</v>
      </c>
      <c r="O146" s="32"/>
      <c r="P146" s="32" t="s">
        <v>2193</v>
      </c>
      <c r="Q146" s="28"/>
      <c r="R146" s="27">
        <v>42508</v>
      </c>
      <c r="S146" s="28" t="s">
        <v>1775</v>
      </c>
    </row>
    <row r="147" spans="1:19" x14ac:dyDescent="0.25">
      <c r="A147" s="27">
        <v>40935</v>
      </c>
      <c r="B147" s="27">
        <v>42416</v>
      </c>
      <c r="C147" s="28" t="s">
        <v>1755</v>
      </c>
      <c r="D147" s="29" t="s">
        <v>2194</v>
      </c>
      <c r="E147" s="28" t="s">
        <v>878</v>
      </c>
      <c r="F147" s="30">
        <v>428661.4</v>
      </c>
      <c r="G147" s="30">
        <v>535826.77</v>
      </c>
      <c r="H147" s="30">
        <v>0</v>
      </c>
      <c r="I147" s="30">
        <v>0</v>
      </c>
      <c r="J147" s="30">
        <v>-43743</v>
      </c>
      <c r="K147" s="30">
        <v>0</v>
      </c>
      <c r="L147" s="31" t="s">
        <v>2191</v>
      </c>
      <c r="M147" s="28" t="s">
        <v>1191</v>
      </c>
      <c r="N147" s="28" t="s">
        <v>2195</v>
      </c>
      <c r="O147" s="32" t="s">
        <v>1901</v>
      </c>
      <c r="P147" s="32" t="s">
        <v>2196</v>
      </c>
      <c r="Q147" s="28"/>
      <c r="R147" s="27">
        <v>42453</v>
      </c>
      <c r="S147" s="28" t="s">
        <v>1775</v>
      </c>
    </row>
    <row r="148" spans="1:19" x14ac:dyDescent="0.25">
      <c r="A148" s="27">
        <v>42268</v>
      </c>
      <c r="B148" s="27">
        <v>42474</v>
      </c>
      <c r="C148" s="28" t="s">
        <v>1781</v>
      </c>
      <c r="D148" s="29" t="s">
        <v>2197</v>
      </c>
      <c r="E148" s="28" t="s">
        <v>889</v>
      </c>
      <c r="F148" s="30">
        <v>302000</v>
      </c>
      <c r="G148" s="30">
        <v>6213939</v>
      </c>
      <c r="H148" s="30">
        <v>0</v>
      </c>
      <c r="I148" s="30">
        <v>0</v>
      </c>
      <c r="J148" s="30">
        <v>302000</v>
      </c>
      <c r="K148" s="30">
        <v>-302000</v>
      </c>
      <c r="L148" s="31" t="s">
        <v>2198</v>
      </c>
      <c r="M148" s="28" t="s">
        <v>72</v>
      </c>
      <c r="N148" s="28" t="s">
        <v>2199</v>
      </c>
      <c r="O148" s="32" t="s">
        <v>123</v>
      </c>
      <c r="P148" s="32" t="s">
        <v>2200</v>
      </c>
      <c r="Q148" s="28"/>
      <c r="R148" s="27">
        <v>42479</v>
      </c>
      <c r="S148" s="28" t="s">
        <v>1775</v>
      </c>
    </row>
    <row r="149" spans="1:19" ht="30" x14ac:dyDescent="0.25">
      <c r="A149" s="62">
        <v>42593</v>
      </c>
      <c r="B149" s="62">
        <v>42593</v>
      </c>
      <c r="C149" s="28" t="s">
        <v>653</v>
      </c>
      <c r="D149" s="29" t="s">
        <v>2201</v>
      </c>
      <c r="E149" s="28" t="s">
        <v>889</v>
      </c>
      <c r="F149" s="30">
        <v>0</v>
      </c>
      <c r="G149" s="30">
        <v>0</v>
      </c>
      <c r="H149" s="30">
        <v>1320000</v>
      </c>
      <c r="I149" s="30">
        <v>1800000</v>
      </c>
      <c r="J149" s="30">
        <v>0</v>
      </c>
      <c r="K149" s="30">
        <v>1320000</v>
      </c>
      <c r="L149" s="31" t="s">
        <v>2202</v>
      </c>
      <c r="M149" s="28" t="s">
        <v>1191</v>
      </c>
      <c r="N149" s="28" t="s">
        <v>2203</v>
      </c>
      <c r="O149" s="32" t="s">
        <v>75</v>
      </c>
      <c r="P149" s="32" t="s">
        <v>2204</v>
      </c>
      <c r="Q149" s="28"/>
      <c r="R149" s="27">
        <v>41490</v>
      </c>
      <c r="S149" s="28" t="s">
        <v>1775</v>
      </c>
    </row>
    <row r="150" spans="1:19" x14ac:dyDescent="0.25">
      <c r="A150" s="27">
        <v>41352</v>
      </c>
      <c r="B150" s="27">
        <v>42536</v>
      </c>
      <c r="C150" s="28" t="s">
        <v>1755</v>
      </c>
      <c r="D150" s="29" t="s">
        <v>1344</v>
      </c>
      <c r="E150" s="28" t="s">
        <v>884</v>
      </c>
      <c r="F150" s="30">
        <v>1629602</v>
      </c>
      <c r="G150" s="30">
        <v>2037003</v>
      </c>
      <c r="H150" s="30">
        <v>0</v>
      </c>
      <c r="I150" s="30">
        <v>0</v>
      </c>
      <c r="J150" s="30">
        <v>40000</v>
      </c>
      <c r="K150" s="30">
        <v>0</v>
      </c>
      <c r="L150" s="31" t="s">
        <v>784</v>
      </c>
      <c r="M150" s="28" t="s">
        <v>1191</v>
      </c>
      <c r="N150" s="28" t="s">
        <v>1504</v>
      </c>
      <c r="O150" s="32" t="s">
        <v>2205</v>
      </c>
      <c r="P150" s="32" t="s">
        <v>2206</v>
      </c>
      <c r="Q150" s="28"/>
      <c r="R150" s="27">
        <v>42537</v>
      </c>
      <c r="S150" s="28" t="s">
        <v>1775</v>
      </c>
    </row>
    <row r="151" spans="1:19" x14ac:dyDescent="0.25">
      <c r="A151" s="33">
        <v>42383</v>
      </c>
      <c r="B151" s="33">
        <v>42388</v>
      </c>
      <c r="C151" s="34" t="s">
        <v>653</v>
      </c>
      <c r="D151" s="35" t="s">
        <v>2207</v>
      </c>
      <c r="E151" s="34" t="s">
        <v>889</v>
      </c>
      <c r="F151" s="36">
        <v>0</v>
      </c>
      <c r="G151" s="36">
        <v>0</v>
      </c>
      <c r="H151" s="36">
        <v>276000</v>
      </c>
      <c r="I151" s="36">
        <v>345000</v>
      </c>
      <c r="J151" s="36">
        <v>0</v>
      </c>
      <c r="K151" s="36">
        <v>276000</v>
      </c>
      <c r="L151" s="37" t="s">
        <v>2208</v>
      </c>
      <c r="M151" s="34" t="s">
        <v>73</v>
      </c>
      <c r="N151" s="34" t="s">
        <v>2209</v>
      </c>
      <c r="O151" s="38"/>
      <c r="P151" s="38" t="s">
        <v>2210</v>
      </c>
      <c r="Q151" s="34"/>
      <c r="R151" s="33">
        <v>42640</v>
      </c>
      <c r="S151" s="34" t="s">
        <v>1775</v>
      </c>
    </row>
    <row r="152" spans="1:19" ht="15.75" thickBot="1" x14ac:dyDescent="0.3">
      <c r="A152" s="33">
        <v>42383</v>
      </c>
      <c r="B152" s="33">
        <v>42571</v>
      </c>
      <c r="C152" s="34" t="s">
        <v>1781</v>
      </c>
      <c r="D152" s="35" t="s">
        <v>2207</v>
      </c>
      <c r="E152" s="34" t="s">
        <v>889</v>
      </c>
      <c r="F152" s="36">
        <v>276000</v>
      </c>
      <c r="G152" s="36">
        <v>345000</v>
      </c>
      <c r="H152" s="36">
        <v>0</v>
      </c>
      <c r="I152" s="36">
        <v>0</v>
      </c>
      <c r="J152" s="36">
        <v>276000</v>
      </c>
      <c r="K152" s="36">
        <v>-276000</v>
      </c>
      <c r="L152" s="37" t="s">
        <v>2208</v>
      </c>
      <c r="M152" s="34" t="s">
        <v>73</v>
      </c>
      <c r="N152" s="34" t="s">
        <v>2209</v>
      </c>
      <c r="O152" s="38"/>
      <c r="P152" s="38" t="s">
        <v>2210</v>
      </c>
      <c r="Q152" s="34"/>
      <c r="R152" s="33">
        <v>42640</v>
      </c>
      <c r="S152" s="34" t="s">
        <v>1775</v>
      </c>
    </row>
    <row r="153" spans="1:19" x14ac:dyDescent="0.25">
      <c r="A153" s="39">
        <v>42326</v>
      </c>
      <c r="B153" s="40">
        <v>42326</v>
      </c>
      <c r="C153" s="41" t="s">
        <v>653</v>
      </c>
      <c r="D153" s="42" t="s">
        <v>2211</v>
      </c>
      <c r="E153" s="41" t="s">
        <v>889</v>
      </c>
      <c r="F153" s="43">
        <v>0</v>
      </c>
      <c r="G153" s="43">
        <v>0</v>
      </c>
      <c r="H153" s="43">
        <v>752138</v>
      </c>
      <c r="I153" s="43">
        <v>940169</v>
      </c>
      <c r="J153" s="43">
        <v>0</v>
      </c>
      <c r="K153" s="43">
        <v>752138</v>
      </c>
      <c r="L153" s="126" t="s">
        <v>2212</v>
      </c>
      <c r="M153" s="41" t="s">
        <v>1191</v>
      </c>
      <c r="N153" s="41" t="s">
        <v>2213</v>
      </c>
      <c r="O153" s="45" t="s">
        <v>1904</v>
      </c>
      <c r="P153" s="45" t="s">
        <v>2214</v>
      </c>
      <c r="Q153" s="41"/>
      <c r="R153" s="40">
        <v>42496</v>
      </c>
      <c r="S153" s="46" t="s">
        <v>1775</v>
      </c>
    </row>
    <row r="154" spans="1:19" x14ac:dyDescent="0.25">
      <c r="A154" s="68">
        <v>42326</v>
      </c>
      <c r="B154" s="69">
        <v>42436</v>
      </c>
      <c r="C154" s="70" t="s">
        <v>1755</v>
      </c>
      <c r="D154" s="71" t="s">
        <v>2211</v>
      </c>
      <c r="E154" s="70" t="s">
        <v>889</v>
      </c>
      <c r="F154" s="72">
        <v>0</v>
      </c>
      <c r="G154" s="72">
        <v>0</v>
      </c>
      <c r="H154" s="72">
        <v>537804</v>
      </c>
      <c r="I154" s="72">
        <v>672256</v>
      </c>
      <c r="J154" s="72">
        <v>0</v>
      </c>
      <c r="K154" s="72">
        <v>-214331</v>
      </c>
      <c r="L154" s="127" t="s">
        <v>2212</v>
      </c>
      <c r="M154" s="70" t="s">
        <v>1191</v>
      </c>
      <c r="N154" s="70" t="s">
        <v>2213</v>
      </c>
      <c r="O154" s="74" t="s">
        <v>1904</v>
      </c>
      <c r="P154" s="74" t="s">
        <v>2214</v>
      </c>
      <c r="Q154" s="70"/>
      <c r="R154" s="69">
        <v>42496</v>
      </c>
      <c r="S154" s="75" t="s">
        <v>1775</v>
      </c>
    </row>
    <row r="155" spans="1:19" ht="15.75" thickBot="1" x14ac:dyDescent="0.3">
      <c r="A155" s="47">
        <v>42326</v>
      </c>
      <c r="B155" s="48">
        <v>42496</v>
      </c>
      <c r="C155" s="49" t="s">
        <v>1781</v>
      </c>
      <c r="D155" s="50" t="s">
        <v>2211</v>
      </c>
      <c r="E155" s="49" t="s">
        <v>889</v>
      </c>
      <c r="F155" s="51">
        <v>537804</v>
      </c>
      <c r="G155" s="51">
        <v>672256</v>
      </c>
      <c r="H155" s="51">
        <v>0</v>
      </c>
      <c r="I155" s="51">
        <v>0</v>
      </c>
      <c r="J155" s="51">
        <v>537804</v>
      </c>
      <c r="K155" s="51">
        <v>-537804</v>
      </c>
      <c r="L155" s="128" t="s">
        <v>2212</v>
      </c>
      <c r="M155" s="49" t="s">
        <v>1191</v>
      </c>
      <c r="N155" s="49" t="s">
        <v>2213</v>
      </c>
      <c r="O155" s="53" t="s">
        <v>1904</v>
      </c>
      <c r="P155" s="53" t="s">
        <v>2214</v>
      </c>
      <c r="Q155" s="49"/>
      <c r="R155" s="48">
        <v>42496</v>
      </c>
      <c r="S155" s="54" t="s">
        <v>1775</v>
      </c>
    </row>
    <row r="156" spans="1:19" s="61" customFormat="1" x14ac:dyDescent="0.25">
      <c r="A156" s="55">
        <v>40151</v>
      </c>
      <c r="B156" s="55">
        <v>42516</v>
      </c>
      <c r="C156" s="56" t="s">
        <v>1754</v>
      </c>
      <c r="D156" s="57" t="s">
        <v>1419</v>
      </c>
      <c r="E156" s="56" t="s">
        <v>890</v>
      </c>
      <c r="F156" s="58">
        <v>558290.38</v>
      </c>
      <c r="G156" s="58">
        <v>697863.01</v>
      </c>
      <c r="H156" s="58">
        <v>0</v>
      </c>
      <c r="I156" s="58">
        <v>0</v>
      </c>
      <c r="J156" s="58">
        <v>843.38</v>
      </c>
      <c r="K156" s="58">
        <v>0</v>
      </c>
      <c r="L156" s="129" t="s">
        <v>758</v>
      </c>
      <c r="M156" s="56" t="s">
        <v>212</v>
      </c>
      <c r="N156" s="56" t="s">
        <v>1579</v>
      </c>
      <c r="O156" s="60" t="s">
        <v>212</v>
      </c>
      <c r="P156" s="60" t="s">
        <v>2215</v>
      </c>
      <c r="Q156" s="56"/>
      <c r="R156" s="55">
        <v>42536</v>
      </c>
      <c r="S156" s="56" t="s">
        <v>1775</v>
      </c>
    </row>
    <row r="157" spans="1:19" ht="30" x14ac:dyDescent="0.25">
      <c r="A157" s="62">
        <v>41449</v>
      </c>
      <c r="B157" s="62">
        <v>42530</v>
      </c>
      <c r="C157" s="63" t="s">
        <v>1755</v>
      </c>
      <c r="D157" s="64" t="s">
        <v>1317</v>
      </c>
      <c r="E157" s="63" t="s">
        <v>884</v>
      </c>
      <c r="F157" s="65">
        <v>2745000</v>
      </c>
      <c r="G157" s="65">
        <v>3431250</v>
      </c>
      <c r="H157" s="65">
        <v>0</v>
      </c>
      <c r="I157" s="65">
        <v>0</v>
      </c>
      <c r="J157" s="65">
        <v>500000</v>
      </c>
      <c r="K157" s="65">
        <v>0</v>
      </c>
      <c r="L157" s="130" t="s">
        <v>758</v>
      </c>
      <c r="M157" s="63" t="s">
        <v>72</v>
      </c>
      <c r="N157" s="63" t="s">
        <v>1477</v>
      </c>
      <c r="O157" s="67" t="s">
        <v>75</v>
      </c>
      <c r="P157" s="67" t="s">
        <v>251</v>
      </c>
      <c r="Q157" s="63"/>
      <c r="R157" s="62">
        <v>42536</v>
      </c>
      <c r="S157" s="63" t="s">
        <v>1775</v>
      </c>
    </row>
    <row r="158" spans="1:19" x14ac:dyDescent="0.25">
      <c r="A158" s="27">
        <v>40074</v>
      </c>
      <c r="B158" s="27">
        <v>42348</v>
      </c>
      <c r="C158" s="28" t="s">
        <v>1754</v>
      </c>
      <c r="D158" s="29" t="s">
        <v>2216</v>
      </c>
      <c r="E158" s="28" t="s">
        <v>884</v>
      </c>
      <c r="F158" s="30">
        <v>4557690.68</v>
      </c>
      <c r="G158" s="30">
        <v>5817436.6100000003</v>
      </c>
      <c r="H158" s="30">
        <v>0</v>
      </c>
      <c r="I158" s="30">
        <v>0</v>
      </c>
      <c r="J158" s="30">
        <v>-177222.32</v>
      </c>
      <c r="K158" s="30">
        <v>0</v>
      </c>
      <c r="L158" s="31" t="s">
        <v>2217</v>
      </c>
      <c r="M158" s="28" t="s">
        <v>1191</v>
      </c>
      <c r="N158" s="28" t="s">
        <v>2218</v>
      </c>
      <c r="O158" s="32"/>
      <c r="P158" s="32"/>
      <c r="Q158" s="28"/>
      <c r="R158" s="27">
        <v>42360</v>
      </c>
      <c r="S158" s="28" t="s">
        <v>1775</v>
      </c>
    </row>
    <row r="159" spans="1:19" x14ac:dyDescent="0.25">
      <c r="A159" s="27">
        <v>40295</v>
      </c>
      <c r="B159" s="27">
        <v>42373</v>
      </c>
      <c r="C159" s="28" t="s">
        <v>1754</v>
      </c>
      <c r="D159" s="29" t="s">
        <v>2219</v>
      </c>
      <c r="E159" s="28" t="s">
        <v>890</v>
      </c>
      <c r="F159" s="30">
        <f>246800+26375.81</f>
        <v>273175.81</v>
      </c>
      <c r="G159" s="30">
        <f>308500+32969.76</f>
        <v>341469.76</v>
      </c>
      <c r="H159" s="30">
        <v>0</v>
      </c>
      <c r="I159" s="30">
        <v>0</v>
      </c>
      <c r="J159" s="30">
        <v>0</v>
      </c>
      <c r="K159" s="30">
        <v>0</v>
      </c>
      <c r="L159" s="31" t="s">
        <v>2220</v>
      </c>
      <c r="M159" s="28" t="s">
        <v>212</v>
      </c>
      <c r="N159" s="28" t="s">
        <v>2221</v>
      </c>
      <c r="O159" s="32"/>
      <c r="P159" s="32"/>
      <c r="Q159" s="28"/>
      <c r="R159" s="27">
        <v>42405</v>
      </c>
      <c r="S159" s="28" t="s">
        <v>1775</v>
      </c>
    </row>
    <row r="160" spans="1:19" x14ac:dyDescent="0.25">
      <c r="A160" s="27">
        <v>41131</v>
      </c>
      <c r="B160" s="27">
        <v>42416</v>
      </c>
      <c r="C160" s="28" t="s">
        <v>1754</v>
      </c>
      <c r="D160" s="29" t="s">
        <v>2222</v>
      </c>
      <c r="E160" s="28" t="s">
        <v>878</v>
      </c>
      <c r="F160" s="30">
        <v>649162.43000000005</v>
      </c>
      <c r="G160" s="30">
        <v>649162</v>
      </c>
      <c r="H160" s="30">
        <v>0</v>
      </c>
      <c r="I160" s="30">
        <v>0</v>
      </c>
      <c r="J160" s="30">
        <v>-30153</v>
      </c>
      <c r="K160" s="30">
        <v>0</v>
      </c>
      <c r="L160" s="31" t="s">
        <v>2223</v>
      </c>
      <c r="M160" s="28" t="s">
        <v>1191</v>
      </c>
      <c r="N160" s="28" t="s">
        <v>2224</v>
      </c>
      <c r="O160" s="32" t="s">
        <v>2225</v>
      </c>
      <c r="P160" s="32"/>
      <c r="Q160" s="28"/>
      <c r="R160" s="27">
        <v>42453</v>
      </c>
      <c r="S160" s="28" t="s">
        <v>1775</v>
      </c>
    </row>
    <row r="161" spans="1:19" x14ac:dyDescent="0.25">
      <c r="A161" s="27">
        <v>39939</v>
      </c>
      <c r="B161" s="27">
        <v>42446</v>
      </c>
      <c r="C161" s="28" t="s">
        <v>1754</v>
      </c>
      <c r="D161" s="29" t="s">
        <v>2226</v>
      </c>
      <c r="E161" s="28" t="s">
        <v>890</v>
      </c>
      <c r="F161" s="30">
        <v>144000</v>
      </c>
      <c r="G161" s="30">
        <v>184868.23</v>
      </c>
      <c r="H161" s="30">
        <v>0</v>
      </c>
      <c r="I161" s="30">
        <v>0</v>
      </c>
      <c r="J161" s="30">
        <v>0</v>
      </c>
      <c r="K161" s="30">
        <v>0</v>
      </c>
      <c r="L161" s="31" t="s">
        <v>2227</v>
      </c>
      <c r="M161" s="28" t="s">
        <v>72</v>
      </c>
      <c r="N161" s="28" t="s">
        <v>2228</v>
      </c>
      <c r="O161" s="32" t="s">
        <v>1934</v>
      </c>
      <c r="P161" s="32" t="s">
        <v>2229</v>
      </c>
      <c r="Q161" s="28" t="s">
        <v>2230</v>
      </c>
      <c r="R161" s="27">
        <v>42523</v>
      </c>
      <c r="S161" s="28" t="s">
        <v>1775</v>
      </c>
    </row>
    <row r="162" spans="1:19" x14ac:dyDescent="0.25">
      <c r="A162" s="27">
        <v>40878</v>
      </c>
      <c r="B162" s="27">
        <v>42579</v>
      </c>
      <c r="C162" s="28" t="s">
        <v>1755</v>
      </c>
      <c r="D162" s="29" t="s">
        <v>1362</v>
      </c>
      <c r="E162" s="28" t="s">
        <v>884</v>
      </c>
      <c r="F162" s="30">
        <v>256292.35</v>
      </c>
      <c r="G162" s="30">
        <v>459136.83</v>
      </c>
      <c r="H162" s="30">
        <v>0</v>
      </c>
      <c r="I162" s="30">
        <v>0</v>
      </c>
      <c r="J162" s="30">
        <v>3917.35</v>
      </c>
      <c r="K162" s="30">
        <v>0</v>
      </c>
      <c r="L162" s="31" t="s">
        <v>799</v>
      </c>
      <c r="M162" s="28" t="s">
        <v>72</v>
      </c>
      <c r="N162" s="28" t="s">
        <v>1522</v>
      </c>
      <c r="O162" s="32" t="s">
        <v>2231</v>
      </c>
      <c r="P162" s="32" t="s">
        <v>2232</v>
      </c>
      <c r="Q162" s="28"/>
      <c r="R162" s="27">
        <v>42548</v>
      </c>
      <c r="S162" s="28" t="s">
        <v>1775</v>
      </c>
    </row>
    <row r="163" spans="1:19" x14ac:dyDescent="0.25">
      <c r="A163" s="27">
        <v>41540</v>
      </c>
      <c r="B163" s="27">
        <v>42326</v>
      </c>
      <c r="C163" s="28" t="s">
        <v>1781</v>
      </c>
      <c r="D163" s="29" t="s">
        <v>2233</v>
      </c>
      <c r="E163" s="28" t="s">
        <v>884</v>
      </c>
      <c r="F163" s="30">
        <v>193417</v>
      </c>
      <c r="G163" s="30">
        <v>241771</v>
      </c>
      <c r="H163" s="30">
        <v>0</v>
      </c>
      <c r="I163" s="30">
        <v>0</v>
      </c>
      <c r="J163" s="30">
        <v>193417</v>
      </c>
      <c r="K163" s="30">
        <v>-193417</v>
      </c>
      <c r="L163" s="31" t="s">
        <v>2234</v>
      </c>
      <c r="M163" s="28" t="s">
        <v>212</v>
      </c>
      <c r="N163" s="28" t="s">
        <v>2235</v>
      </c>
      <c r="O163" s="32" t="s">
        <v>2236</v>
      </c>
      <c r="P163" s="32" t="s">
        <v>2237</v>
      </c>
      <c r="Q163" s="28"/>
      <c r="R163" s="27">
        <v>42328</v>
      </c>
      <c r="S163" s="28" t="s">
        <v>1775</v>
      </c>
    </row>
    <row r="164" spans="1:19" ht="45" x14ac:dyDescent="0.25">
      <c r="A164" s="27">
        <v>42571</v>
      </c>
      <c r="B164" s="27">
        <v>42571</v>
      </c>
      <c r="C164" s="28" t="s">
        <v>653</v>
      </c>
      <c r="D164" s="29" t="s">
        <v>2238</v>
      </c>
      <c r="E164" s="28" t="s">
        <v>889</v>
      </c>
      <c r="F164" s="30">
        <v>0</v>
      </c>
      <c r="G164" s="30">
        <v>0</v>
      </c>
      <c r="H164" s="30">
        <v>53826</v>
      </c>
      <c r="I164" s="30">
        <v>67282</v>
      </c>
      <c r="J164" s="30">
        <v>0</v>
      </c>
      <c r="K164" s="30">
        <v>53826</v>
      </c>
      <c r="L164" s="31" t="s">
        <v>2239</v>
      </c>
      <c r="M164" s="28" t="s">
        <v>212</v>
      </c>
      <c r="N164" s="28" t="s">
        <v>2240</v>
      </c>
      <c r="O164" s="32" t="s">
        <v>1901</v>
      </c>
      <c r="P164" s="32" t="s">
        <v>2241</v>
      </c>
      <c r="Q164" s="28"/>
      <c r="R164" s="27">
        <v>42571</v>
      </c>
      <c r="S164" s="28" t="s">
        <v>1775</v>
      </c>
    </row>
    <row r="165" spans="1:19" x14ac:dyDescent="0.25">
      <c r="A165" s="27">
        <v>40246</v>
      </c>
      <c r="B165" s="27">
        <v>42579</v>
      </c>
      <c r="C165" s="28" t="s">
        <v>1754</v>
      </c>
      <c r="D165" s="29" t="s">
        <v>1353</v>
      </c>
      <c r="E165" s="28" t="s">
        <v>890</v>
      </c>
      <c r="F165" s="30">
        <v>1198701.74</v>
      </c>
      <c r="G165" s="30">
        <v>1498377.18</v>
      </c>
      <c r="H165" s="30">
        <v>0</v>
      </c>
      <c r="I165" s="30">
        <v>0</v>
      </c>
      <c r="J165" s="30">
        <v>0</v>
      </c>
      <c r="K165" s="30">
        <v>6227.78</v>
      </c>
      <c r="L165" s="31" t="s">
        <v>793</v>
      </c>
      <c r="M165" s="28" t="s">
        <v>1191</v>
      </c>
      <c r="N165" s="28" t="s">
        <v>1513</v>
      </c>
      <c r="O165" s="32" t="s">
        <v>1901</v>
      </c>
      <c r="P165" s="32" t="s">
        <v>2242</v>
      </c>
      <c r="Q165" s="28"/>
      <c r="R165" s="27">
        <v>42598</v>
      </c>
      <c r="S165" s="28" t="s">
        <v>1775</v>
      </c>
    </row>
    <row r="166" spans="1:19" x14ac:dyDescent="0.25">
      <c r="A166" s="27">
        <v>42045</v>
      </c>
      <c r="B166" s="27">
        <v>42432</v>
      </c>
      <c r="C166" s="28" t="s">
        <v>1781</v>
      </c>
      <c r="D166" s="29" t="s">
        <v>2243</v>
      </c>
      <c r="E166" s="28" t="s">
        <v>889</v>
      </c>
      <c r="F166" s="30">
        <v>437082</v>
      </c>
      <c r="G166" s="30">
        <v>546352</v>
      </c>
      <c r="H166" s="30">
        <v>0</v>
      </c>
      <c r="I166" s="30">
        <v>0</v>
      </c>
      <c r="J166" s="30">
        <v>437082</v>
      </c>
      <c r="K166" s="30">
        <v>-437082</v>
      </c>
      <c r="L166" s="31" t="s">
        <v>2244</v>
      </c>
      <c r="M166" s="28" t="s">
        <v>212</v>
      </c>
      <c r="N166" s="28" t="s">
        <v>2245</v>
      </c>
      <c r="O166" s="32" t="s">
        <v>2225</v>
      </c>
      <c r="P166" s="32" t="s">
        <v>2246</v>
      </c>
      <c r="Q166" s="28"/>
      <c r="R166" s="27">
        <v>42453</v>
      </c>
      <c r="S166" s="28" t="s">
        <v>1775</v>
      </c>
    </row>
    <row r="167" spans="1:19" ht="30" x14ac:dyDescent="0.25">
      <c r="A167" s="27">
        <v>42611</v>
      </c>
      <c r="B167" s="27">
        <v>42611</v>
      </c>
      <c r="C167" s="28" t="s">
        <v>653</v>
      </c>
      <c r="D167" s="29" t="s">
        <v>2247</v>
      </c>
      <c r="E167" s="28" t="s">
        <v>889</v>
      </c>
      <c r="F167" s="30">
        <v>0</v>
      </c>
      <c r="G167" s="30">
        <v>0</v>
      </c>
      <c r="H167" s="30">
        <v>35200</v>
      </c>
      <c r="I167" s="30">
        <v>44000</v>
      </c>
      <c r="J167" s="30">
        <v>0</v>
      </c>
      <c r="K167" s="30">
        <v>35200</v>
      </c>
      <c r="L167" s="31" t="s">
        <v>2244</v>
      </c>
      <c r="M167" s="28" t="s">
        <v>72</v>
      </c>
      <c r="N167" s="28" t="s">
        <v>2248</v>
      </c>
      <c r="O167" s="32" t="s">
        <v>2249</v>
      </c>
      <c r="P167" s="32" t="s">
        <v>2249</v>
      </c>
      <c r="Q167" s="28"/>
      <c r="R167" s="27">
        <v>42657</v>
      </c>
      <c r="S167" s="28" t="s">
        <v>1775</v>
      </c>
    </row>
    <row r="168" spans="1:19" x14ac:dyDescent="0.25">
      <c r="A168" s="27">
        <v>42045</v>
      </c>
      <c r="B168" s="27">
        <v>42403</v>
      </c>
      <c r="C168" s="28" t="s">
        <v>1781</v>
      </c>
      <c r="D168" s="29" t="s">
        <v>2250</v>
      </c>
      <c r="E168" s="28" t="s">
        <v>890</v>
      </c>
      <c r="F168" s="30">
        <v>67918</v>
      </c>
      <c r="G168" s="30">
        <v>84897</v>
      </c>
      <c r="H168" s="30">
        <v>0</v>
      </c>
      <c r="I168" s="30">
        <v>0</v>
      </c>
      <c r="J168" s="30">
        <v>67918</v>
      </c>
      <c r="K168" s="30">
        <v>-67918</v>
      </c>
      <c r="L168" s="31" t="s">
        <v>2251</v>
      </c>
      <c r="M168" s="28" t="s">
        <v>212</v>
      </c>
      <c r="N168" s="28" t="s">
        <v>2252</v>
      </c>
      <c r="O168" s="32" t="s">
        <v>2253</v>
      </c>
      <c r="P168" s="32" t="s">
        <v>2254</v>
      </c>
      <c r="Q168" s="28"/>
      <c r="R168" s="27">
        <v>42408</v>
      </c>
      <c r="S168" s="28" t="s">
        <v>1775</v>
      </c>
    </row>
    <row r="169" spans="1:19" x14ac:dyDescent="0.25">
      <c r="A169" s="27">
        <v>42270</v>
      </c>
      <c r="B169" s="27">
        <v>42451</v>
      </c>
      <c r="C169" s="28" t="s">
        <v>1781</v>
      </c>
      <c r="D169" s="29" t="s">
        <v>2255</v>
      </c>
      <c r="E169" s="28" t="s">
        <v>889</v>
      </c>
      <c r="F169" s="30">
        <v>1232000</v>
      </c>
      <c r="G169" s="30">
        <v>1667828</v>
      </c>
      <c r="H169" s="30">
        <v>0</v>
      </c>
      <c r="I169" s="30">
        <v>0</v>
      </c>
      <c r="J169" s="30">
        <v>1232000</v>
      </c>
      <c r="K169" s="30">
        <v>-1232000</v>
      </c>
      <c r="L169" s="31" t="s">
        <v>2251</v>
      </c>
      <c r="M169" s="28" t="s">
        <v>1191</v>
      </c>
      <c r="N169" s="28" t="s">
        <v>2256</v>
      </c>
      <c r="O169" s="32" t="s">
        <v>2257</v>
      </c>
      <c r="P169" s="32" t="s">
        <v>2258</v>
      </c>
      <c r="Q169" s="28"/>
      <c r="R169" s="27">
        <v>42453</v>
      </c>
      <c r="S169" s="28" t="s">
        <v>1775</v>
      </c>
    </row>
    <row r="170" spans="1:19" x14ac:dyDescent="0.25">
      <c r="A170" s="27">
        <v>42123</v>
      </c>
      <c r="B170" s="27">
        <v>42398</v>
      </c>
      <c r="C170" s="28" t="s">
        <v>1781</v>
      </c>
      <c r="D170" s="29" t="s">
        <v>1389</v>
      </c>
      <c r="E170" s="28" t="s">
        <v>884</v>
      </c>
      <c r="F170" s="30">
        <v>360000</v>
      </c>
      <c r="G170" s="30">
        <v>493737</v>
      </c>
      <c r="H170" s="30">
        <v>0</v>
      </c>
      <c r="I170" s="30">
        <v>0</v>
      </c>
      <c r="J170" s="30">
        <v>360000</v>
      </c>
      <c r="K170" s="30">
        <v>-360000</v>
      </c>
      <c r="L170" s="31" t="s">
        <v>820</v>
      </c>
      <c r="M170" s="28" t="s">
        <v>1191</v>
      </c>
      <c r="N170" s="28" t="s">
        <v>1549</v>
      </c>
      <c r="O170" s="32" t="s">
        <v>2259</v>
      </c>
      <c r="P170" s="32" t="s">
        <v>2260</v>
      </c>
      <c r="Q170" s="28"/>
      <c r="R170" s="27">
        <v>42408</v>
      </c>
      <c r="S170" s="28" t="s">
        <v>1775</v>
      </c>
    </row>
    <row r="171" spans="1:19" x14ac:dyDescent="0.25">
      <c r="A171" s="27">
        <v>42123</v>
      </c>
      <c r="B171" s="27">
        <v>42495</v>
      </c>
      <c r="C171" s="28" t="s">
        <v>1755</v>
      </c>
      <c r="D171" s="29" t="s">
        <v>1389</v>
      </c>
      <c r="E171" s="28" t="s">
        <v>884</v>
      </c>
      <c r="F171" s="30">
        <v>388000</v>
      </c>
      <c r="G171" s="30">
        <v>498363</v>
      </c>
      <c r="H171" s="30">
        <v>0</v>
      </c>
      <c r="I171" s="30">
        <v>0</v>
      </c>
      <c r="J171" s="30">
        <v>28000</v>
      </c>
      <c r="K171" s="30">
        <v>0</v>
      </c>
      <c r="L171" s="31" t="s">
        <v>820</v>
      </c>
      <c r="M171" s="28" t="s">
        <v>1191</v>
      </c>
      <c r="N171" s="28" t="s">
        <v>1549</v>
      </c>
      <c r="O171" s="32" t="s">
        <v>2259</v>
      </c>
      <c r="P171" s="32" t="s">
        <v>2260</v>
      </c>
      <c r="Q171" s="28"/>
      <c r="R171" s="27">
        <v>42537</v>
      </c>
      <c r="S171" s="28" t="s">
        <v>1775</v>
      </c>
    </row>
    <row r="172" spans="1:19" ht="15.75" thickBot="1" x14ac:dyDescent="0.3">
      <c r="A172" s="33">
        <v>41655</v>
      </c>
      <c r="B172" s="33">
        <v>42514</v>
      </c>
      <c r="C172" s="34" t="s">
        <v>1755</v>
      </c>
      <c r="D172" s="35" t="s">
        <v>2261</v>
      </c>
      <c r="E172" s="34" t="s">
        <v>884</v>
      </c>
      <c r="F172" s="36">
        <v>1915237.51</v>
      </c>
      <c r="G172" s="36">
        <v>2415509.83</v>
      </c>
      <c r="H172" s="36">
        <v>0</v>
      </c>
      <c r="I172" s="36">
        <v>0</v>
      </c>
      <c r="J172" s="36">
        <v>-401996</v>
      </c>
      <c r="K172" s="36">
        <v>0</v>
      </c>
      <c r="L172" s="37" t="s">
        <v>2262</v>
      </c>
      <c r="M172" s="34" t="s">
        <v>1191</v>
      </c>
      <c r="N172" s="34" t="s">
        <v>2263</v>
      </c>
      <c r="O172" s="38" t="s">
        <v>1929</v>
      </c>
      <c r="P172" s="38" t="s">
        <v>2264</v>
      </c>
      <c r="Q172" s="34"/>
      <c r="R172" s="33">
        <v>42536</v>
      </c>
      <c r="S172" s="34" t="s">
        <v>1775</v>
      </c>
    </row>
    <row r="173" spans="1:19" x14ac:dyDescent="0.25">
      <c r="A173" s="39">
        <v>42270</v>
      </c>
      <c r="B173" s="40">
        <v>42446</v>
      </c>
      <c r="C173" s="41" t="s">
        <v>1819</v>
      </c>
      <c r="D173" s="42" t="s">
        <v>1359</v>
      </c>
      <c r="E173" s="41" t="s">
        <v>889</v>
      </c>
      <c r="F173" s="43">
        <v>2834768</v>
      </c>
      <c r="G173" s="43">
        <v>3553175</v>
      </c>
      <c r="H173" s="43">
        <v>0</v>
      </c>
      <c r="I173" s="43">
        <v>0</v>
      </c>
      <c r="J173" s="43">
        <v>2834768</v>
      </c>
      <c r="K173" s="43">
        <v>-2834768</v>
      </c>
      <c r="L173" s="44" t="s">
        <v>215</v>
      </c>
      <c r="M173" s="41" t="s">
        <v>1191</v>
      </c>
      <c r="N173" s="41" t="s">
        <v>1519</v>
      </c>
      <c r="O173" s="45"/>
      <c r="P173" s="45"/>
      <c r="Q173" s="41"/>
      <c r="R173" s="40">
        <v>42453</v>
      </c>
      <c r="S173" s="46" t="s">
        <v>1775</v>
      </c>
    </row>
    <row r="174" spans="1:19" ht="30.75" thickBot="1" x14ac:dyDescent="0.3">
      <c r="A174" s="47">
        <v>42270</v>
      </c>
      <c r="B174" s="48">
        <v>42352</v>
      </c>
      <c r="C174" s="49" t="s">
        <v>1755</v>
      </c>
      <c r="D174" s="50" t="s">
        <v>1359</v>
      </c>
      <c r="E174" s="49" t="s">
        <v>889</v>
      </c>
      <c r="F174" s="51">
        <v>0</v>
      </c>
      <c r="G174" s="51">
        <v>0</v>
      </c>
      <c r="H174" s="51">
        <v>2834768</v>
      </c>
      <c r="I174" s="51">
        <v>3553175</v>
      </c>
      <c r="J174" s="51">
        <v>0</v>
      </c>
      <c r="K174" s="51">
        <v>38768</v>
      </c>
      <c r="L174" s="52" t="s">
        <v>215</v>
      </c>
      <c r="M174" s="49" t="s">
        <v>1191</v>
      </c>
      <c r="N174" s="49" t="s">
        <v>1519</v>
      </c>
      <c r="O174" s="53" t="s">
        <v>1209</v>
      </c>
      <c r="P174" s="53" t="s">
        <v>2265</v>
      </c>
      <c r="Q174" s="49"/>
      <c r="R174" s="48">
        <v>42453</v>
      </c>
      <c r="S174" s="54" t="s">
        <v>1775</v>
      </c>
    </row>
    <row r="175" spans="1:19" ht="45" x14ac:dyDescent="0.25">
      <c r="A175" s="39">
        <v>41702</v>
      </c>
      <c r="B175" s="40">
        <v>42485</v>
      </c>
      <c r="C175" s="41" t="s">
        <v>1755</v>
      </c>
      <c r="D175" s="42" t="s">
        <v>2266</v>
      </c>
      <c r="E175" s="41" t="s">
        <v>1990</v>
      </c>
      <c r="F175" s="43">
        <v>19104000</v>
      </c>
      <c r="G175" s="43">
        <v>29390000</v>
      </c>
      <c r="H175" s="43">
        <v>0</v>
      </c>
      <c r="I175" s="43">
        <v>0</v>
      </c>
      <c r="J175" s="43">
        <v>3400000</v>
      </c>
      <c r="K175" s="43">
        <v>0</v>
      </c>
      <c r="L175" s="44" t="s">
        <v>2267</v>
      </c>
      <c r="M175" s="41" t="s">
        <v>1191</v>
      </c>
      <c r="N175" s="41" t="s">
        <v>2268</v>
      </c>
      <c r="O175" s="45" t="s">
        <v>2269</v>
      </c>
      <c r="P175" s="45"/>
      <c r="Q175" s="41"/>
      <c r="R175" s="40">
        <v>42488</v>
      </c>
      <c r="S175" s="46" t="s">
        <v>1775</v>
      </c>
    </row>
    <row r="176" spans="1:19" ht="45.75" thickBot="1" x14ac:dyDescent="0.3">
      <c r="A176" s="110">
        <v>41702</v>
      </c>
      <c r="B176" s="111">
        <v>42636</v>
      </c>
      <c r="C176" s="112" t="s">
        <v>1754</v>
      </c>
      <c r="D176" s="113" t="s">
        <v>2266</v>
      </c>
      <c r="E176" s="112" t="s">
        <v>1990</v>
      </c>
      <c r="F176" s="114">
        <v>12352569.359999999</v>
      </c>
      <c r="G176" s="114">
        <v>18962414.420000002</v>
      </c>
      <c r="H176" s="114">
        <v>0</v>
      </c>
      <c r="I176" s="114">
        <v>0</v>
      </c>
      <c r="J176" s="114">
        <v>-6778430.6399999997</v>
      </c>
      <c r="K176" s="114">
        <v>0</v>
      </c>
      <c r="L176" s="115" t="s">
        <v>2267</v>
      </c>
      <c r="M176" s="112" t="s">
        <v>1191</v>
      </c>
      <c r="N176" s="112" t="s">
        <v>2268</v>
      </c>
      <c r="O176" s="116" t="s">
        <v>2269</v>
      </c>
      <c r="P176" s="116"/>
      <c r="Q176" s="112"/>
      <c r="R176" s="111">
        <v>42646</v>
      </c>
      <c r="S176" s="117" t="s">
        <v>1775</v>
      </c>
    </row>
    <row r="177" spans="1:19" x14ac:dyDescent="0.25">
      <c r="A177" s="76">
        <v>40302</v>
      </c>
      <c r="B177" s="76">
        <v>42446</v>
      </c>
      <c r="C177" s="77" t="s">
        <v>1754</v>
      </c>
      <c r="D177" s="78" t="s">
        <v>1332</v>
      </c>
      <c r="E177" s="77" t="s">
        <v>890</v>
      </c>
      <c r="F177" s="79">
        <v>1930349.49</v>
      </c>
      <c r="G177" s="79">
        <v>2412937.37</v>
      </c>
      <c r="H177" s="79">
        <v>0</v>
      </c>
      <c r="I177" s="79">
        <v>0</v>
      </c>
      <c r="J177" s="79">
        <v>91802</v>
      </c>
      <c r="K177" s="79">
        <v>0</v>
      </c>
      <c r="L177" s="80" t="s">
        <v>773</v>
      </c>
      <c r="M177" s="77" t="s">
        <v>1191</v>
      </c>
      <c r="N177" s="77" t="s">
        <v>1492</v>
      </c>
      <c r="O177" s="81" t="s">
        <v>2270</v>
      </c>
      <c r="P177" s="81" t="s">
        <v>2271</v>
      </c>
      <c r="Q177" s="77"/>
      <c r="R177" s="76">
        <v>42453</v>
      </c>
      <c r="S177" s="77" t="s">
        <v>1775</v>
      </c>
    </row>
    <row r="178" spans="1:19" x14ac:dyDescent="0.25">
      <c r="A178" s="27">
        <v>40302</v>
      </c>
      <c r="B178" s="27">
        <v>42482</v>
      </c>
      <c r="C178" s="28" t="s">
        <v>1754</v>
      </c>
      <c r="D178" s="29" t="s">
        <v>2272</v>
      </c>
      <c r="E178" s="28" t="s">
        <v>890</v>
      </c>
      <c r="F178" s="30">
        <v>2462929.31</v>
      </c>
      <c r="G178" s="30">
        <v>3078662.14</v>
      </c>
      <c r="H178" s="30">
        <v>0</v>
      </c>
      <c r="I178" s="30">
        <v>0</v>
      </c>
      <c r="J178" s="30">
        <f>F178-2526981.99</f>
        <v>-64052.680000000168</v>
      </c>
      <c r="K178" s="30">
        <v>0</v>
      </c>
      <c r="L178" s="31" t="s">
        <v>773</v>
      </c>
      <c r="M178" s="28" t="s">
        <v>1191</v>
      </c>
      <c r="N178" s="28" t="s">
        <v>2273</v>
      </c>
      <c r="O178" s="32" t="s">
        <v>2270</v>
      </c>
      <c r="P178" s="32"/>
      <c r="Q178" s="28"/>
      <c r="R178" s="27">
        <v>42488</v>
      </c>
      <c r="S178" s="28" t="s">
        <v>1775</v>
      </c>
    </row>
    <row r="179" spans="1:19" ht="30" x14ac:dyDescent="0.25">
      <c r="A179" s="27">
        <v>41780</v>
      </c>
      <c r="B179" s="27">
        <v>42332</v>
      </c>
      <c r="C179" s="28" t="s">
        <v>1781</v>
      </c>
      <c r="D179" s="29" t="s">
        <v>2274</v>
      </c>
      <c r="E179" s="28" t="s">
        <v>1990</v>
      </c>
      <c r="F179" s="30">
        <v>3000000</v>
      </c>
      <c r="G179" s="30">
        <v>6000000</v>
      </c>
      <c r="H179" s="30">
        <v>0</v>
      </c>
      <c r="I179" s="30">
        <v>0</v>
      </c>
      <c r="J179" s="30">
        <v>3000000</v>
      </c>
      <c r="K179" s="30">
        <v>-3000000</v>
      </c>
      <c r="L179" s="31" t="s">
        <v>2275</v>
      </c>
      <c r="M179" s="28" t="s">
        <v>1849</v>
      </c>
      <c r="N179" s="28" t="s">
        <v>2276</v>
      </c>
      <c r="O179" s="32" t="s">
        <v>2277</v>
      </c>
      <c r="P179" s="32"/>
      <c r="Q179" s="28"/>
      <c r="R179" s="27">
        <v>42338</v>
      </c>
      <c r="S179" s="28" t="s">
        <v>1775</v>
      </c>
    </row>
    <row r="180" spans="1:19" ht="30" x14ac:dyDescent="0.25">
      <c r="A180" s="27">
        <v>41780</v>
      </c>
      <c r="B180" s="27">
        <v>42544</v>
      </c>
      <c r="C180" s="28" t="s">
        <v>1755</v>
      </c>
      <c r="D180" s="29" t="s">
        <v>2274</v>
      </c>
      <c r="E180" s="28" t="s">
        <v>1990</v>
      </c>
      <c r="F180" s="30">
        <v>4000000</v>
      </c>
      <c r="G180" s="30">
        <v>8000000</v>
      </c>
      <c r="H180" s="30">
        <v>0</v>
      </c>
      <c r="I180" s="30">
        <v>0</v>
      </c>
      <c r="J180" s="30">
        <v>1000000</v>
      </c>
      <c r="K180" s="30">
        <v>0</v>
      </c>
      <c r="L180" s="31" t="s">
        <v>2275</v>
      </c>
      <c r="M180" s="28" t="s">
        <v>1849</v>
      </c>
      <c r="N180" s="28" t="s">
        <v>2278</v>
      </c>
      <c r="O180" s="32" t="s">
        <v>2277</v>
      </c>
      <c r="P180" s="32"/>
      <c r="Q180" s="28"/>
      <c r="R180" s="27">
        <v>42598</v>
      </c>
      <c r="S180" s="28" t="s">
        <v>1775</v>
      </c>
    </row>
    <row r="181" spans="1:19" x14ac:dyDescent="0.25">
      <c r="A181" s="28"/>
      <c r="B181" s="28"/>
      <c r="C181" s="28"/>
      <c r="D181" s="29"/>
      <c r="E181" s="28"/>
      <c r="F181" s="30"/>
      <c r="G181" s="30"/>
      <c r="H181" s="30"/>
      <c r="I181" s="30"/>
      <c r="J181" s="30">
        <f>SUBTOTAL(9,J2:J180)</f>
        <v>63985185.459999993</v>
      </c>
      <c r="K181" s="30">
        <f>SUBTOTAL(9,K2:K180)</f>
        <v>-27860492.879999999</v>
      </c>
      <c r="L181" s="31"/>
      <c r="M181" s="28"/>
      <c r="N181" s="28"/>
      <c r="O181" s="32"/>
      <c r="P181" s="32"/>
      <c r="Q181" s="28"/>
      <c r="R181" s="28"/>
      <c r="S181" s="28"/>
    </row>
    <row r="182" spans="1:19" x14ac:dyDescent="0.25">
      <c r="A182" s="28"/>
      <c r="B182" s="28"/>
      <c r="C182" s="28"/>
      <c r="D182" s="29"/>
      <c r="E182" s="28"/>
      <c r="F182" s="30"/>
      <c r="G182" s="30"/>
      <c r="H182" s="30"/>
      <c r="I182" s="30"/>
      <c r="J182" s="30"/>
      <c r="K182" s="30"/>
      <c r="L182" s="31"/>
      <c r="M182" s="28"/>
      <c r="N182" s="28"/>
      <c r="O182" s="32"/>
      <c r="P182" s="32"/>
      <c r="Q182" s="28"/>
      <c r="R182" s="28"/>
      <c r="S182" s="28"/>
    </row>
    <row r="183" spans="1:19" x14ac:dyDescent="0.25">
      <c r="A183" s="28"/>
      <c r="B183" s="28"/>
      <c r="C183" s="28"/>
      <c r="D183" s="29"/>
      <c r="E183" s="28"/>
      <c r="F183" s="30"/>
      <c r="G183" s="30"/>
      <c r="H183" s="30"/>
      <c r="I183" s="30"/>
      <c r="J183" s="30"/>
      <c r="K183" s="30"/>
      <c r="L183" s="31"/>
      <c r="M183" s="28"/>
      <c r="N183" s="28"/>
      <c r="O183" s="32"/>
      <c r="P183" s="32"/>
      <c r="Q183" s="28"/>
      <c r="R183" s="28"/>
      <c r="S183" s="28"/>
    </row>
    <row r="184" spans="1:19" x14ac:dyDescent="0.25">
      <c r="A184" s="28"/>
      <c r="B184" s="28"/>
      <c r="C184" s="28"/>
      <c r="D184" s="29"/>
      <c r="E184" s="28"/>
      <c r="F184" s="30"/>
      <c r="G184" s="30"/>
      <c r="H184" s="30"/>
      <c r="I184" s="30"/>
      <c r="J184" s="30"/>
      <c r="K184" s="30"/>
      <c r="L184" s="31"/>
      <c r="M184" s="28"/>
      <c r="N184" s="28"/>
      <c r="O184" s="32"/>
      <c r="P184" s="32"/>
      <c r="Q184" s="28"/>
      <c r="R184" s="28"/>
      <c r="S184" s="28"/>
    </row>
    <row r="185" spans="1:19" x14ac:dyDescent="0.25">
      <c r="A185" s="28"/>
      <c r="B185" s="28"/>
      <c r="C185" s="28"/>
      <c r="D185" s="29"/>
      <c r="E185" s="28"/>
      <c r="F185" s="30"/>
      <c r="G185" s="30"/>
      <c r="H185" s="30"/>
      <c r="I185" s="30"/>
      <c r="J185" s="30"/>
      <c r="K185" s="30"/>
      <c r="L185" s="31"/>
      <c r="M185" s="28"/>
      <c r="N185" s="28"/>
      <c r="O185" s="32"/>
      <c r="P185" s="32"/>
      <c r="Q185" s="28"/>
      <c r="R185" s="28"/>
      <c r="S185" s="28"/>
    </row>
    <row r="186" spans="1:19" x14ac:dyDescent="0.25">
      <c r="A186" s="28"/>
      <c r="B186" s="28"/>
      <c r="C186" s="28"/>
      <c r="D186" s="29"/>
      <c r="E186" s="28"/>
      <c r="F186" s="30"/>
      <c r="G186" s="30"/>
      <c r="H186" s="30"/>
      <c r="I186" s="30"/>
      <c r="J186" s="30"/>
      <c r="K186" s="30"/>
      <c r="L186" s="31"/>
      <c r="M186" s="28"/>
      <c r="N186" s="28"/>
      <c r="O186" s="32"/>
      <c r="P186" s="32"/>
      <c r="Q186" s="28"/>
      <c r="R186" s="28"/>
      <c r="S186" s="28"/>
    </row>
    <row r="187" spans="1:19" x14ac:dyDescent="0.25">
      <c r="A187" s="28"/>
      <c r="B187" s="28"/>
      <c r="C187" s="28"/>
      <c r="D187" s="29"/>
      <c r="E187" s="28"/>
      <c r="F187" s="30"/>
      <c r="G187" s="30"/>
      <c r="H187" s="30"/>
      <c r="I187" s="30"/>
      <c r="J187" s="30"/>
      <c r="K187" s="30"/>
      <c r="L187" s="31"/>
      <c r="M187" s="28"/>
      <c r="N187" s="28"/>
      <c r="O187" s="32"/>
      <c r="P187" s="32"/>
      <c r="Q187" s="28"/>
      <c r="R187" s="28"/>
      <c r="S187" s="28"/>
    </row>
    <row r="188" spans="1:19" x14ac:dyDescent="0.25">
      <c r="A188" s="28"/>
      <c r="B188" s="28"/>
      <c r="C188" s="28"/>
      <c r="D188" s="29"/>
      <c r="E188" s="28"/>
      <c r="F188" s="30"/>
      <c r="G188" s="30"/>
      <c r="H188" s="30"/>
      <c r="I188" s="30"/>
      <c r="J188" s="30"/>
      <c r="K188" s="30"/>
      <c r="L188" s="31"/>
      <c r="M188" s="28"/>
      <c r="N188" s="28"/>
      <c r="O188" s="32"/>
      <c r="P188" s="32"/>
      <c r="Q188" s="28"/>
      <c r="R188" s="28"/>
      <c r="S188" s="28"/>
    </row>
    <row r="189" spans="1:19" x14ac:dyDescent="0.25">
      <c r="A189" s="28"/>
      <c r="B189" s="28"/>
      <c r="C189" s="28"/>
      <c r="D189" s="29"/>
      <c r="E189" s="28"/>
      <c r="F189" s="30"/>
      <c r="G189" s="30"/>
      <c r="H189" s="30"/>
      <c r="I189" s="30"/>
      <c r="J189" s="30"/>
      <c r="K189" s="30"/>
      <c r="L189" s="31"/>
      <c r="M189" s="28"/>
      <c r="N189" s="28"/>
      <c r="O189" s="32"/>
      <c r="P189" s="32"/>
      <c r="Q189" s="28"/>
      <c r="R189" s="28"/>
      <c r="S189" s="28"/>
    </row>
    <row r="190" spans="1:19" x14ac:dyDescent="0.25">
      <c r="A190" s="28"/>
      <c r="B190" s="28"/>
      <c r="C190" s="28"/>
      <c r="D190" s="29"/>
      <c r="E190" s="28"/>
      <c r="F190" s="30"/>
      <c r="G190" s="30"/>
      <c r="H190" s="30"/>
      <c r="I190" s="30"/>
      <c r="J190" s="30"/>
      <c r="K190" s="30"/>
      <c r="L190" s="31"/>
      <c r="M190" s="28"/>
      <c r="N190" s="28"/>
      <c r="O190" s="32"/>
      <c r="P190" s="32"/>
      <c r="Q190" s="28"/>
      <c r="R190" s="28"/>
      <c r="S190" s="28"/>
    </row>
    <row r="191" spans="1:19" x14ac:dyDescent="0.25">
      <c r="A191" s="28"/>
      <c r="B191" s="28"/>
      <c r="C191" s="28"/>
      <c r="D191" s="29"/>
      <c r="E191" s="28"/>
      <c r="F191" s="30"/>
      <c r="G191" s="30"/>
      <c r="H191" s="30"/>
      <c r="I191" s="30"/>
      <c r="J191" s="30"/>
      <c r="K191" s="30"/>
      <c r="L191" s="31"/>
      <c r="M191" s="28"/>
      <c r="N191" s="28"/>
      <c r="O191" s="32"/>
      <c r="P191" s="32"/>
      <c r="Q191" s="28"/>
      <c r="R191" s="28"/>
      <c r="S191" s="28"/>
    </row>
    <row r="192" spans="1:19" x14ac:dyDescent="0.25">
      <c r="A192" s="28"/>
      <c r="B192" s="28"/>
      <c r="C192" s="28"/>
      <c r="D192" s="29"/>
      <c r="E192" s="28"/>
      <c r="F192" s="30"/>
      <c r="G192" s="30"/>
      <c r="H192" s="30"/>
      <c r="I192" s="30"/>
      <c r="J192" s="30"/>
      <c r="K192" s="30"/>
      <c r="L192" s="31"/>
      <c r="M192" s="28"/>
      <c r="N192" s="28"/>
      <c r="O192" s="32"/>
      <c r="P192" s="32"/>
      <c r="Q192" s="28"/>
      <c r="R192" s="28"/>
      <c r="S192" s="28"/>
    </row>
    <row r="193" spans="1:19" x14ac:dyDescent="0.25">
      <c r="A193" s="28"/>
      <c r="B193" s="28"/>
      <c r="C193" s="28"/>
      <c r="D193" s="29"/>
      <c r="E193" s="28"/>
      <c r="F193" s="30"/>
      <c r="G193" s="30"/>
      <c r="H193" s="30"/>
      <c r="I193" s="30"/>
      <c r="J193" s="30"/>
      <c r="K193" s="30"/>
      <c r="L193" s="31"/>
      <c r="M193" s="28"/>
      <c r="N193" s="28"/>
      <c r="O193" s="32"/>
      <c r="P193" s="32"/>
      <c r="Q193" s="28"/>
      <c r="R193" s="28"/>
      <c r="S193" s="28"/>
    </row>
    <row r="194" spans="1:19" x14ac:dyDescent="0.25">
      <c r="A194" s="28"/>
      <c r="B194" s="28"/>
      <c r="C194" s="28"/>
      <c r="D194" s="29"/>
      <c r="E194" s="28"/>
      <c r="F194" s="30"/>
      <c r="G194" s="30"/>
      <c r="H194" s="30"/>
      <c r="I194" s="30"/>
      <c r="J194" s="30"/>
      <c r="K194" s="30"/>
      <c r="L194" s="31"/>
      <c r="M194" s="28"/>
      <c r="N194" s="28"/>
      <c r="O194" s="32"/>
      <c r="P194" s="32"/>
      <c r="Q194" s="28"/>
      <c r="R194" s="28"/>
      <c r="S194" s="28"/>
    </row>
    <row r="195" spans="1:19" x14ac:dyDescent="0.25">
      <c r="A195" s="28"/>
      <c r="B195" s="28"/>
      <c r="C195" s="28"/>
      <c r="D195" s="29"/>
      <c r="E195" s="28"/>
      <c r="F195" s="30"/>
      <c r="G195" s="30"/>
      <c r="H195" s="30"/>
      <c r="I195" s="30"/>
      <c r="J195" s="30"/>
      <c r="K195" s="30"/>
      <c r="L195" s="31"/>
      <c r="M195" s="28"/>
      <c r="N195" s="28"/>
      <c r="O195" s="32"/>
      <c r="P195" s="32"/>
      <c r="Q195" s="28"/>
      <c r="R195" s="28"/>
      <c r="S195" s="28"/>
    </row>
    <row r="196" spans="1:19" x14ac:dyDescent="0.25">
      <c r="A196" s="28"/>
      <c r="B196" s="28"/>
      <c r="C196" s="28"/>
      <c r="D196" s="29"/>
      <c r="E196" s="28"/>
      <c r="F196" s="30"/>
      <c r="G196" s="30"/>
      <c r="H196" s="30"/>
      <c r="I196" s="30"/>
      <c r="J196" s="30"/>
      <c r="K196" s="30"/>
      <c r="L196" s="31"/>
      <c r="M196" s="28"/>
      <c r="N196" s="28"/>
      <c r="O196" s="32"/>
      <c r="P196" s="32"/>
      <c r="Q196" s="28"/>
      <c r="R196" s="28"/>
      <c r="S196" s="28"/>
    </row>
    <row r="197" spans="1:19" x14ac:dyDescent="0.25">
      <c r="A197" s="28"/>
      <c r="B197" s="28"/>
      <c r="C197" s="28"/>
      <c r="D197" s="29"/>
      <c r="E197" s="28"/>
      <c r="F197" s="30"/>
      <c r="G197" s="30"/>
      <c r="H197" s="30"/>
      <c r="I197" s="30"/>
      <c r="J197" s="30"/>
      <c r="K197" s="30"/>
      <c r="L197" s="31"/>
      <c r="M197" s="28"/>
      <c r="N197" s="28"/>
      <c r="O197" s="32"/>
      <c r="P197" s="32"/>
      <c r="Q197" s="28"/>
      <c r="R197" s="28"/>
      <c r="S197" s="28"/>
    </row>
    <row r="198" spans="1:19" x14ac:dyDescent="0.25">
      <c r="A198" s="28"/>
      <c r="B198" s="28"/>
      <c r="C198" s="28"/>
      <c r="D198" s="29"/>
      <c r="E198" s="28"/>
      <c r="F198" s="30"/>
      <c r="G198" s="30"/>
      <c r="H198" s="30"/>
      <c r="I198" s="30"/>
      <c r="J198" s="30"/>
      <c r="K198" s="30"/>
      <c r="L198" s="31"/>
      <c r="M198" s="28"/>
      <c r="N198" s="28"/>
      <c r="O198" s="32"/>
      <c r="P198" s="32"/>
      <c r="Q198" s="28"/>
      <c r="R198" s="28"/>
      <c r="S198" s="28"/>
    </row>
    <row r="199" spans="1:19" x14ac:dyDescent="0.25">
      <c r="A199" s="28"/>
      <c r="B199" s="28"/>
      <c r="C199" s="28"/>
      <c r="D199" s="29"/>
      <c r="E199" s="28"/>
      <c r="F199" s="30"/>
      <c r="G199" s="30"/>
      <c r="H199" s="30"/>
      <c r="I199" s="30"/>
      <c r="J199" s="30"/>
      <c r="K199" s="30"/>
      <c r="L199" s="31"/>
      <c r="M199" s="28"/>
      <c r="N199" s="28"/>
      <c r="O199" s="32"/>
      <c r="P199" s="32"/>
      <c r="Q199" s="28"/>
      <c r="R199" s="28"/>
      <c r="S199" s="28"/>
    </row>
    <row r="200" spans="1:19" x14ac:dyDescent="0.25">
      <c r="A200" s="28"/>
      <c r="B200" s="28"/>
      <c r="C200" s="28"/>
      <c r="D200" s="29"/>
      <c r="E200" s="28"/>
      <c r="F200" s="30"/>
      <c r="G200" s="30"/>
      <c r="H200" s="30"/>
      <c r="I200" s="30"/>
      <c r="J200" s="30"/>
      <c r="K200" s="30"/>
      <c r="L200" s="31"/>
      <c r="M200" s="28"/>
      <c r="N200" s="28"/>
      <c r="O200" s="32"/>
      <c r="P200" s="32"/>
      <c r="Q200" s="28"/>
      <c r="R200" s="28"/>
      <c r="S200" s="28"/>
    </row>
    <row r="201" spans="1:19" x14ac:dyDescent="0.25">
      <c r="A201" s="28"/>
      <c r="B201" s="28"/>
      <c r="C201" s="28"/>
      <c r="D201" s="29"/>
      <c r="E201" s="28"/>
      <c r="F201" s="30"/>
      <c r="G201" s="30"/>
      <c r="H201" s="30"/>
      <c r="I201" s="30"/>
      <c r="J201" s="30"/>
      <c r="K201" s="30"/>
      <c r="L201" s="31"/>
      <c r="M201" s="28"/>
      <c r="N201" s="28"/>
      <c r="O201" s="32"/>
      <c r="P201" s="32"/>
      <c r="Q201" s="28"/>
      <c r="R201" s="28"/>
      <c r="S201" s="28"/>
    </row>
    <row r="202" spans="1:19" x14ac:dyDescent="0.25">
      <c r="A202" s="28"/>
      <c r="B202" s="28"/>
      <c r="C202" s="28"/>
      <c r="D202" s="29"/>
      <c r="E202" s="28"/>
      <c r="F202" s="30"/>
      <c r="G202" s="30"/>
      <c r="H202" s="30"/>
      <c r="I202" s="30"/>
      <c r="J202" s="30"/>
      <c r="K202" s="30"/>
      <c r="L202" s="31"/>
      <c r="M202" s="28"/>
      <c r="N202" s="28"/>
      <c r="O202" s="32"/>
      <c r="P202" s="32"/>
      <c r="Q202" s="28"/>
      <c r="R202" s="28"/>
      <c r="S202" s="28"/>
    </row>
    <row r="203" spans="1:19" x14ac:dyDescent="0.25">
      <c r="A203" s="28"/>
      <c r="B203" s="28"/>
      <c r="C203" s="28"/>
      <c r="D203" s="29"/>
      <c r="E203" s="28"/>
      <c r="F203" s="30"/>
      <c r="G203" s="30"/>
      <c r="H203" s="30"/>
      <c r="I203" s="30"/>
      <c r="J203" s="30"/>
      <c r="K203" s="30"/>
      <c r="L203" s="31"/>
      <c r="M203" s="28"/>
      <c r="N203" s="28"/>
      <c r="O203" s="32"/>
      <c r="P203" s="32"/>
      <c r="Q203" s="28"/>
      <c r="R203" s="28"/>
      <c r="S203" s="28"/>
    </row>
    <row r="204" spans="1:19" x14ac:dyDescent="0.25">
      <c r="A204" s="28"/>
      <c r="B204" s="28"/>
      <c r="C204" s="28"/>
      <c r="D204" s="29"/>
      <c r="E204" s="28"/>
      <c r="F204" s="30"/>
      <c r="G204" s="30"/>
      <c r="H204" s="30"/>
      <c r="I204" s="30"/>
      <c r="J204" s="30"/>
      <c r="K204" s="30"/>
      <c r="L204" s="31"/>
      <c r="M204" s="28"/>
      <c r="N204" s="28"/>
      <c r="O204" s="32"/>
      <c r="P204" s="32"/>
      <c r="Q204" s="28"/>
      <c r="R204" s="28"/>
      <c r="S204" s="28"/>
    </row>
    <row r="205" spans="1:19" x14ac:dyDescent="0.25">
      <c r="A205" s="28"/>
      <c r="B205" s="28"/>
      <c r="C205" s="28"/>
      <c r="D205" s="29"/>
      <c r="E205" s="28"/>
      <c r="F205" s="30"/>
      <c r="G205" s="30"/>
      <c r="H205" s="30"/>
      <c r="I205" s="30"/>
      <c r="J205" s="30"/>
      <c r="K205" s="30"/>
      <c r="L205" s="31"/>
      <c r="M205" s="28"/>
      <c r="N205" s="28"/>
      <c r="O205" s="32"/>
      <c r="P205" s="32"/>
      <c r="Q205" s="28"/>
      <c r="R205" s="28"/>
      <c r="S205" s="28"/>
    </row>
    <row r="206" spans="1:19" x14ac:dyDescent="0.25">
      <c r="A206" s="28"/>
      <c r="B206" s="28"/>
      <c r="C206" s="28"/>
      <c r="D206" s="29"/>
      <c r="E206" s="28"/>
      <c r="F206" s="30"/>
      <c r="G206" s="30"/>
      <c r="H206" s="30"/>
      <c r="I206" s="30"/>
      <c r="J206" s="30"/>
      <c r="K206" s="30"/>
      <c r="L206" s="31"/>
      <c r="M206" s="28"/>
      <c r="N206" s="28"/>
      <c r="O206" s="32"/>
      <c r="P206" s="32"/>
      <c r="Q206" s="28"/>
      <c r="R206" s="28"/>
      <c r="S206" s="28"/>
    </row>
    <row r="207" spans="1:19" x14ac:dyDescent="0.25">
      <c r="A207" s="28"/>
      <c r="B207" s="28"/>
      <c r="C207" s="28"/>
      <c r="D207" s="29"/>
      <c r="E207" s="28"/>
      <c r="F207" s="30"/>
      <c r="G207" s="30"/>
      <c r="H207" s="30"/>
      <c r="I207" s="30"/>
      <c r="J207" s="30"/>
      <c r="K207" s="30"/>
      <c r="L207" s="31"/>
      <c r="M207" s="28"/>
      <c r="N207" s="28"/>
      <c r="O207" s="32"/>
      <c r="P207" s="32"/>
      <c r="Q207" s="28"/>
      <c r="R207" s="28"/>
      <c r="S207" s="28"/>
    </row>
    <row r="208" spans="1:19" x14ac:dyDescent="0.25">
      <c r="A208" s="28"/>
      <c r="B208" s="28"/>
      <c r="C208" s="28"/>
      <c r="D208" s="29"/>
      <c r="E208" s="28"/>
      <c r="F208" s="30"/>
      <c r="G208" s="30"/>
      <c r="H208" s="30"/>
      <c r="I208" s="30"/>
      <c r="J208" s="30"/>
      <c r="K208" s="30"/>
      <c r="L208" s="31"/>
      <c r="M208" s="28"/>
      <c r="N208" s="28"/>
      <c r="O208" s="32"/>
      <c r="P208" s="32"/>
      <c r="Q208" s="28"/>
      <c r="R208" s="28"/>
      <c r="S208" s="28"/>
    </row>
    <row r="209" spans="1:19" x14ac:dyDescent="0.25">
      <c r="A209" s="28"/>
      <c r="B209" s="28"/>
      <c r="C209" s="28"/>
      <c r="D209" s="29"/>
      <c r="E209" s="28"/>
      <c r="F209" s="30"/>
      <c r="G209" s="30"/>
      <c r="H209" s="30"/>
      <c r="I209" s="30"/>
      <c r="J209" s="30"/>
      <c r="K209" s="30"/>
      <c r="L209" s="31"/>
      <c r="M209" s="28"/>
      <c r="N209" s="28"/>
      <c r="O209" s="32"/>
      <c r="P209" s="32"/>
      <c r="Q209" s="28"/>
      <c r="R209" s="28"/>
      <c r="S209" s="28"/>
    </row>
    <row r="210" spans="1:19" x14ac:dyDescent="0.25">
      <c r="A210" s="28"/>
      <c r="B210" s="28"/>
      <c r="C210" s="28"/>
      <c r="D210" s="29"/>
      <c r="E210" s="28"/>
      <c r="F210" s="30"/>
      <c r="G210" s="30"/>
      <c r="H210" s="30"/>
      <c r="I210" s="30"/>
      <c r="J210" s="30"/>
      <c r="K210" s="30"/>
      <c r="L210" s="31"/>
      <c r="M210" s="28"/>
      <c r="N210" s="28"/>
      <c r="O210" s="32"/>
      <c r="P210" s="32"/>
      <c r="Q210" s="28"/>
      <c r="R210" s="28"/>
      <c r="S210" s="28"/>
    </row>
    <row r="211" spans="1:19" x14ac:dyDescent="0.25">
      <c r="A211" s="28"/>
      <c r="B211" s="28"/>
      <c r="C211" s="28"/>
      <c r="D211" s="29"/>
      <c r="E211" s="28"/>
      <c r="F211" s="30"/>
      <c r="G211" s="30"/>
      <c r="H211" s="30"/>
      <c r="I211" s="30"/>
      <c r="J211" s="30"/>
      <c r="K211" s="30"/>
      <c r="L211" s="31"/>
      <c r="M211" s="28"/>
      <c r="N211" s="28"/>
      <c r="O211" s="32"/>
      <c r="P211" s="32"/>
      <c r="Q211" s="28"/>
      <c r="R211" s="28"/>
      <c r="S211" s="28"/>
    </row>
    <row r="212" spans="1:19" x14ac:dyDescent="0.25">
      <c r="A212" s="28"/>
      <c r="B212" s="28"/>
      <c r="C212" s="28"/>
      <c r="D212" s="29"/>
      <c r="E212" s="28"/>
      <c r="F212" s="30"/>
      <c r="G212" s="30"/>
      <c r="H212" s="30"/>
      <c r="I212" s="30"/>
      <c r="J212" s="30"/>
      <c r="K212" s="30"/>
      <c r="L212" s="31"/>
      <c r="M212" s="28"/>
      <c r="N212" s="28"/>
      <c r="O212" s="32"/>
      <c r="P212" s="32"/>
      <c r="Q212" s="28"/>
      <c r="R212" s="28"/>
      <c r="S212" s="28"/>
    </row>
    <row r="213" spans="1:19" x14ac:dyDescent="0.25">
      <c r="A213" s="28"/>
      <c r="B213" s="28"/>
      <c r="C213" s="28"/>
      <c r="D213" s="29"/>
      <c r="E213" s="28"/>
      <c r="F213" s="30"/>
      <c r="G213" s="30"/>
      <c r="H213" s="30"/>
      <c r="I213" s="30"/>
      <c r="J213" s="30"/>
      <c r="K213" s="30"/>
      <c r="L213" s="31"/>
      <c r="M213" s="28"/>
      <c r="N213" s="28"/>
      <c r="O213" s="32"/>
      <c r="P213" s="32"/>
      <c r="Q213" s="28"/>
      <c r="R213" s="28"/>
      <c r="S213" s="28"/>
    </row>
    <row r="214" spans="1:19" x14ac:dyDescent="0.25">
      <c r="A214" s="28"/>
      <c r="B214" s="28"/>
      <c r="C214" s="28"/>
      <c r="D214" s="29"/>
      <c r="E214" s="28"/>
      <c r="F214" s="30"/>
      <c r="G214" s="30"/>
      <c r="H214" s="30"/>
      <c r="I214" s="30"/>
      <c r="J214" s="30"/>
      <c r="K214" s="30"/>
      <c r="L214" s="31"/>
      <c r="M214" s="28"/>
      <c r="N214" s="28"/>
      <c r="O214" s="32"/>
      <c r="P214" s="32"/>
      <c r="Q214" s="28"/>
      <c r="R214" s="28"/>
      <c r="S214" s="28"/>
    </row>
    <row r="215" spans="1:19" x14ac:dyDescent="0.25">
      <c r="A215" s="28"/>
      <c r="B215" s="28"/>
      <c r="C215" s="28"/>
      <c r="D215" s="29"/>
      <c r="E215" s="28"/>
      <c r="F215" s="30"/>
      <c r="G215" s="30"/>
      <c r="H215" s="30"/>
      <c r="I215" s="30"/>
      <c r="J215" s="30"/>
      <c r="K215" s="30"/>
      <c r="L215" s="31"/>
      <c r="M215" s="28"/>
      <c r="N215" s="28"/>
      <c r="O215" s="32"/>
      <c r="P215" s="32"/>
      <c r="Q215" s="28"/>
      <c r="R215" s="28"/>
      <c r="S215" s="28"/>
    </row>
    <row r="216" spans="1:19" x14ac:dyDescent="0.25">
      <c r="A216" s="28"/>
      <c r="B216" s="28"/>
      <c r="C216" s="28"/>
      <c r="D216" s="29"/>
      <c r="E216" s="28"/>
      <c r="F216" s="30"/>
      <c r="G216" s="30"/>
      <c r="H216" s="30"/>
      <c r="I216" s="30"/>
      <c r="J216" s="30"/>
      <c r="K216" s="30"/>
      <c r="L216" s="31"/>
      <c r="M216" s="28"/>
      <c r="N216" s="28"/>
      <c r="O216" s="32"/>
      <c r="P216" s="32"/>
      <c r="Q216" s="28"/>
      <c r="R216" s="28"/>
      <c r="S216" s="28"/>
    </row>
    <row r="217" spans="1:19" x14ac:dyDescent="0.25">
      <c r="A217" s="28"/>
      <c r="B217" s="28"/>
      <c r="C217" s="28"/>
      <c r="D217" s="29"/>
      <c r="E217" s="28"/>
      <c r="F217" s="30"/>
      <c r="G217" s="30"/>
      <c r="H217" s="30"/>
      <c r="I217" s="30"/>
      <c r="J217" s="30"/>
      <c r="K217" s="30"/>
      <c r="L217" s="31"/>
      <c r="M217" s="28"/>
      <c r="N217" s="28"/>
      <c r="O217" s="32"/>
      <c r="P217" s="32"/>
      <c r="Q217" s="28"/>
      <c r="R217" s="28"/>
      <c r="S217" s="28"/>
    </row>
    <row r="218" spans="1:19" x14ac:dyDescent="0.25">
      <c r="A218" s="28"/>
      <c r="B218" s="28"/>
      <c r="C218" s="28"/>
      <c r="D218" s="29"/>
      <c r="E218" s="28"/>
      <c r="F218" s="30"/>
      <c r="G218" s="30"/>
      <c r="H218" s="30"/>
      <c r="I218" s="30"/>
      <c r="J218" s="30"/>
      <c r="K218" s="30"/>
      <c r="L218" s="31"/>
      <c r="M218" s="28"/>
      <c r="N218" s="28"/>
      <c r="O218" s="32"/>
      <c r="P218" s="32"/>
      <c r="Q218" s="28"/>
      <c r="R218" s="28"/>
      <c r="S218" s="28"/>
    </row>
    <row r="219" spans="1:19" x14ac:dyDescent="0.25">
      <c r="A219" s="28"/>
      <c r="B219" s="28"/>
      <c r="C219" s="28"/>
      <c r="D219" s="29"/>
      <c r="E219" s="28"/>
      <c r="F219" s="30"/>
      <c r="G219" s="30"/>
      <c r="H219" s="30"/>
      <c r="I219" s="30"/>
      <c r="J219" s="30"/>
      <c r="K219" s="30"/>
      <c r="L219" s="31"/>
      <c r="M219" s="28"/>
      <c r="N219" s="28"/>
      <c r="O219" s="32"/>
      <c r="P219" s="32"/>
      <c r="Q219" s="28"/>
      <c r="R219" s="28"/>
      <c r="S219" s="28"/>
    </row>
    <row r="220" spans="1:19" x14ac:dyDescent="0.25">
      <c r="A220" s="28"/>
      <c r="B220" s="28"/>
      <c r="C220" s="28"/>
      <c r="D220" s="29"/>
      <c r="E220" s="28"/>
      <c r="F220" s="30"/>
      <c r="G220" s="30"/>
      <c r="H220" s="30"/>
      <c r="I220" s="30"/>
      <c r="J220" s="30"/>
      <c r="K220" s="30"/>
      <c r="L220" s="31"/>
      <c r="M220" s="28"/>
      <c r="N220" s="28"/>
      <c r="O220" s="32"/>
      <c r="P220" s="32"/>
      <c r="Q220" s="28"/>
      <c r="R220" s="28"/>
      <c r="S220" s="28"/>
    </row>
    <row r="221" spans="1:19" x14ac:dyDescent="0.25">
      <c r="A221" s="28"/>
      <c r="B221" s="28"/>
      <c r="C221" s="28"/>
      <c r="D221" s="29"/>
      <c r="E221" s="28"/>
      <c r="F221" s="30"/>
      <c r="G221" s="30"/>
      <c r="H221" s="30"/>
      <c r="I221" s="30"/>
      <c r="J221" s="30"/>
      <c r="K221" s="30"/>
      <c r="L221" s="31"/>
      <c r="M221" s="28"/>
      <c r="N221" s="28"/>
      <c r="O221" s="32"/>
      <c r="P221" s="32"/>
      <c r="Q221" s="28"/>
      <c r="R221" s="28"/>
      <c r="S221" s="28"/>
    </row>
    <row r="222" spans="1:19" x14ac:dyDescent="0.25">
      <c r="A222" s="28"/>
      <c r="B222" s="28"/>
      <c r="C222" s="28"/>
      <c r="D222" s="29"/>
      <c r="E222" s="28"/>
      <c r="F222" s="30"/>
      <c r="G222" s="30"/>
      <c r="H222" s="30"/>
      <c r="I222" s="30"/>
      <c r="J222" s="30"/>
      <c r="K222" s="30"/>
      <c r="L222" s="31"/>
      <c r="M222" s="28"/>
      <c r="N222" s="28"/>
      <c r="O222" s="32"/>
      <c r="P222" s="32"/>
      <c r="Q222" s="28"/>
      <c r="R222" s="28"/>
      <c r="S222" s="28"/>
    </row>
    <row r="223" spans="1:19" x14ac:dyDescent="0.25">
      <c r="A223" s="28"/>
      <c r="B223" s="28"/>
      <c r="C223" s="28"/>
      <c r="D223" s="29"/>
      <c r="E223" s="28"/>
      <c r="F223" s="30"/>
      <c r="G223" s="30"/>
      <c r="H223" s="30"/>
      <c r="I223" s="30"/>
      <c r="J223" s="30"/>
      <c r="K223" s="30"/>
      <c r="L223" s="31"/>
      <c r="M223" s="28"/>
      <c r="N223" s="28"/>
      <c r="O223" s="32"/>
      <c r="P223" s="32"/>
      <c r="Q223" s="28"/>
      <c r="R223" s="28"/>
      <c r="S223" s="28"/>
    </row>
    <row r="224" spans="1:19" x14ac:dyDescent="0.25">
      <c r="A224" s="28"/>
      <c r="B224" s="28"/>
      <c r="C224" s="28"/>
      <c r="D224" s="29"/>
      <c r="E224" s="28"/>
      <c r="F224" s="30"/>
      <c r="G224" s="30"/>
      <c r="H224" s="30"/>
      <c r="I224" s="30"/>
      <c r="J224" s="30"/>
      <c r="K224" s="30"/>
      <c r="L224" s="31"/>
      <c r="M224" s="28"/>
      <c r="N224" s="28"/>
      <c r="O224" s="32"/>
      <c r="P224" s="32"/>
      <c r="Q224" s="28"/>
      <c r="R224" s="28"/>
      <c r="S224" s="28"/>
    </row>
    <row r="225" spans="1:19" x14ac:dyDescent="0.25">
      <c r="A225" s="28"/>
      <c r="B225" s="28"/>
      <c r="C225" s="28"/>
      <c r="D225" s="29"/>
      <c r="E225" s="28"/>
      <c r="F225" s="30"/>
      <c r="G225" s="30"/>
      <c r="H225" s="30"/>
      <c r="I225" s="30"/>
      <c r="J225" s="30"/>
      <c r="K225" s="30"/>
      <c r="L225" s="31"/>
      <c r="M225" s="28"/>
      <c r="N225" s="28"/>
      <c r="O225" s="32"/>
      <c r="P225" s="32"/>
      <c r="Q225" s="28"/>
      <c r="R225" s="28"/>
      <c r="S225" s="28"/>
    </row>
    <row r="226" spans="1:19" x14ac:dyDescent="0.25">
      <c r="A226" s="28"/>
      <c r="B226" s="28"/>
      <c r="C226" s="28"/>
      <c r="D226" s="29"/>
      <c r="E226" s="28"/>
      <c r="F226" s="30"/>
      <c r="G226" s="30"/>
      <c r="H226" s="30"/>
      <c r="I226" s="30"/>
      <c r="J226" s="30"/>
      <c r="K226" s="30"/>
      <c r="L226" s="31"/>
      <c r="M226" s="28"/>
      <c r="N226" s="28"/>
      <c r="O226" s="32"/>
      <c r="P226" s="32"/>
      <c r="Q226" s="28"/>
      <c r="R226" s="28"/>
      <c r="S226" s="28"/>
    </row>
    <row r="227" spans="1:19" x14ac:dyDescent="0.25">
      <c r="A227" s="28"/>
      <c r="B227" s="28"/>
      <c r="C227" s="28"/>
      <c r="D227" s="29"/>
      <c r="E227" s="28"/>
      <c r="F227" s="30"/>
      <c r="G227" s="30"/>
      <c r="H227" s="30"/>
      <c r="I227" s="30"/>
      <c r="J227" s="30"/>
      <c r="K227" s="30"/>
      <c r="L227" s="31"/>
      <c r="M227" s="28"/>
      <c r="N227" s="28"/>
      <c r="O227" s="32"/>
      <c r="P227" s="32"/>
      <c r="Q227" s="28"/>
      <c r="R227" s="28"/>
      <c r="S227" s="28"/>
    </row>
    <row r="228" spans="1:19" x14ac:dyDescent="0.25">
      <c r="A228" s="28"/>
      <c r="B228" s="28"/>
      <c r="C228" s="28"/>
      <c r="D228" s="29"/>
      <c r="E228" s="28"/>
      <c r="F228" s="30"/>
      <c r="G228" s="30"/>
      <c r="H228" s="30"/>
      <c r="I228" s="30"/>
      <c r="J228" s="30"/>
      <c r="K228" s="30"/>
      <c r="L228" s="31"/>
      <c r="M228" s="28"/>
      <c r="N228" s="28"/>
      <c r="O228" s="32"/>
      <c r="P228" s="32"/>
      <c r="Q228" s="28"/>
      <c r="R228" s="28"/>
      <c r="S228" s="28"/>
    </row>
    <row r="229" spans="1:19" x14ac:dyDescent="0.25">
      <c r="A229" s="28"/>
      <c r="B229" s="28"/>
      <c r="C229" s="28"/>
      <c r="D229" s="29"/>
      <c r="E229" s="28"/>
      <c r="F229" s="30"/>
      <c r="G229" s="30"/>
      <c r="H229" s="30"/>
      <c r="I229" s="30"/>
      <c r="J229" s="30"/>
      <c r="K229" s="30"/>
      <c r="L229" s="31"/>
      <c r="M229" s="28"/>
      <c r="N229" s="28"/>
      <c r="O229" s="32"/>
      <c r="P229" s="32"/>
      <c r="Q229" s="28"/>
      <c r="R229" s="28"/>
      <c r="S229" s="28"/>
    </row>
    <row r="411" spans="4:4" ht="23.25" x14ac:dyDescent="0.35">
      <c r="D411" s="131" t="s">
        <v>41</v>
      </c>
    </row>
    <row r="432" spans="8:8" x14ac:dyDescent="0.25">
      <c r="H432" s="132">
        <v>317154</v>
      </c>
    </row>
  </sheetData>
  <autoFilter ref="A1:S180">
    <sortState ref="A2:S180">
      <sortCondition ref="L1:L180"/>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7"/>
  <sheetViews>
    <sheetView topLeftCell="H1" zoomScale="80" zoomScaleNormal="80" workbookViewId="0">
      <pane ySplit="1" topLeftCell="A2" activePane="bottomLeft" state="frozen"/>
      <selection pane="bottomLeft" activeCell="H26" sqref="H26"/>
    </sheetView>
  </sheetViews>
  <sheetFormatPr defaultRowHeight="15" x14ac:dyDescent="0.25"/>
  <cols>
    <col min="1" max="1" width="12.42578125" style="176" customWidth="1"/>
    <col min="2" max="2" width="13.7109375" customWidth="1"/>
    <col min="3" max="3" width="14.5703125" customWidth="1"/>
    <col min="4" max="4" width="17.42578125" customWidth="1"/>
    <col min="5" max="5" width="22.140625" customWidth="1"/>
    <col min="6" max="6" width="38.42578125" customWidth="1"/>
    <col min="7" max="7" width="9.140625" customWidth="1"/>
    <col min="8" max="8" width="28.42578125" style="4" customWidth="1"/>
    <col min="9" max="9" width="16.42578125" customWidth="1"/>
    <col min="10" max="10" width="7.140625" customWidth="1"/>
    <col min="11" max="11" width="16" style="6" customWidth="1"/>
    <col min="12" max="12" width="12.5703125" style="6" customWidth="1"/>
    <col min="13" max="13" width="16.85546875" style="6" customWidth="1"/>
    <col min="14" max="14" width="12" style="6" customWidth="1"/>
    <col min="15" max="15" width="13.140625" style="184" customWidth="1"/>
    <col min="16" max="16" width="15" style="176" customWidth="1"/>
    <col min="17" max="17" width="15" customWidth="1"/>
    <col min="18" max="18" width="17.42578125" customWidth="1"/>
    <col min="19" max="19" width="13.42578125" customWidth="1"/>
    <col min="20" max="20" width="10.5703125" customWidth="1"/>
    <col min="22" max="22" width="18.42578125" customWidth="1"/>
    <col min="23" max="23" width="13.28515625" customWidth="1"/>
    <col min="24" max="24" width="13.85546875" style="6" customWidth="1"/>
    <col min="25" max="25" width="11.5703125" style="6" customWidth="1"/>
    <col min="26" max="26" width="27.85546875" customWidth="1"/>
  </cols>
  <sheetData>
    <row r="1" spans="1:26" ht="45" x14ac:dyDescent="0.25">
      <c r="A1" s="17" t="s">
        <v>0</v>
      </c>
      <c r="B1" s="18" t="s">
        <v>1</v>
      </c>
      <c r="C1" s="18" t="s">
        <v>2</v>
      </c>
      <c r="D1" s="18" t="s">
        <v>3</v>
      </c>
      <c r="E1" s="18" t="s">
        <v>4</v>
      </c>
      <c r="F1" s="18" t="s">
        <v>5</v>
      </c>
      <c r="G1" s="18" t="s">
        <v>6</v>
      </c>
      <c r="H1" s="18" t="s">
        <v>7</v>
      </c>
      <c r="I1" s="18" t="s">
        <v>8</v>
      </c>
      <c r="J1" s="19" t="s">
        <v>9</v>
      </c>
      <c r="K1" s="207" t="s">
        <v>10</v>
      </c>
      <c r="L1" s="207" t="s">
        <v>11</v>
      </c>
      <c r="M1" s="207" t="s">
        <v>12</v>
      </c>
      <c r="N1" s="207" t="s">
        <v>13</v>
      </c>
      <c r="O1" s="206" t="s">
        <v>719</v>
      </c>
      <c r="P1" s="19" t="s">
        <v>15</v>
      </c>
      <c r="Q1" s="19" t="s">
        <v>720</v>
      </c>
      <c r="R1" s="18" t="s">
        <v>14</v>
      </c>
      <c r="S1" s="17" t="s">
        <v>721</v>
      </c>
      <c r="T1" s="18" t="s">
        <v>4611</v>
      </c>
      <c r="U1" s="18" t="s">
        <v>4610</v>
      </c>
      <c r="V1" s="18" t="s">
        <v>4609</v>
      </c>
      <c r="W1" s="18" t="s">
        <v>4608</v>
      </c>
      <c r="X1" s="205" t="s">
        <v>4607</v>
      </c>
      <c r="Y1" s="205" t="s">
        <v>4606</v>
      </c>
      <c r="Z1" s="18" t="s">
        <v>17</v>
      </c>
    </row>
    <row r="2" spans="1:26" s="7" customFormat="1" x14ac:dyDescent="0.25">
      <c r="A2" s="176" t="s">
        <v>1788</v>
      </c>
      <c r="B2" t="s">
        <v>18</v>
      </c>
      <c r="C2" s="61" t="s">
        <v>239</v>
      </c>
      <c r="D2" s="61" t="s">
        <v>239</v>
      </c>
      <c r="E2" s="15" t="s">
        <v>41</v>
      </c>
      <c r="F2" s="15" t="s">
        <v>103</v>
      </c>
      <c r="G2" s="61" t="s">
        <v>177</v>
      </c>
      <c r="H2" s="4" t="s">
        <v>178</v>
      </c>
      <c r="I2" s="4" t="s">
        <v>2284</v>
      </c>
      <c r="J2" s="4" t="s">
        <v>889</v>
      </c>
      <c r="K2" s="6">
        <v>171600</v>
      </c>
      <c r="L2" s="6">
        <f>K2*1.25-K2</f>
        <v>42900</v>
      </c>
      <c r="M2" s="6">
        <f t="shared" ref="M2:M33" si="0">N2-(K2+L2)</f>
        <v>0</v>
      </c>
      <c r="N2" s="6">
        <v>214500</v>
      </c>
      <c r="O2" s="184" t="s">
        <v>1787</v>
      </c>
      <c r="P2" s="176" t="s">
        <v>1789</v>
      </c>
      <c r="Q2" s="21" t="s">
        <v>3604</v>
      </c>
      <c r="R2" t="s">
        <v>3601</v>
      </c>
      <c r="S2" s="178">
        <v>42544</v>
      </c>
      <c r="T2"/>
      <c r="U2" s="186" t="s">
        <v>1775</v>
      </c>
      <c r="V2" s="178" t="s">
        <v>2571</v>
      </c>
      <c r="W2" s="178">
        <v>42544</v>
      </c>
      <c r="X2" s="6">
        <v>171600</v>
      </c>
      <c r="Y2" s="6">
        <f t="shared" ref="Y2:Y33" si="1">K2-X2</f>
        <v>0</v>
      </c>
      <c r="Z2"/>
    </row>
    <row r="3" spans="1:26" ht="30" x14ac:dyDescent="0.25">
      <c r="A3" s="176" t="s">
        <v>1788</v>
      </c>
      <c r="B3" t="s">
        <v>18</v>
      </c>
      <c r="C3" s="61" t="s">
        <v>239</v>
      </c>
      <c r="D3" s="61" t="s">
        <v>239</v>
      </c>
      <c r="E3" s="15" t="s">
        <v>41</v>
      </c>
      <c r="F3" s="15" t="s">
        <v>103</v>
      </c>
      <c r="G3" s="61" t="s">
        <v>72</v>
      </c>
      <c r="H3" s="4" t="s">
        <v>3603</v>
      </c>
      <c r="I3" s="4" t="s">
        <v>2284</v>
      </c>
      <c r="J3" s="4" t="s">
        <v>889</v>
      </c>
      <c r="K3" s="6">
        <v>1150400</v>
      </c>
      <c r="L3" s="6">
        <f>K3*1.25-K3</f>
        <v>287600</v>
      </c>
      <c r="M3" s="6">
        <f t="shared" si="0"/>
        <v>0</v>
      </c>
      <c r="N3" s="6">
        <v>1438000</v>
      </c>
      <c r="O3" s="184" t="s">
        <v>1787</v>
      </c>
      <c r="P3" s="176" t="s">
        <v>1789</v>
      </c>
      <c r="Q3" s="21" t="s">
        <v>3602</v>
      </c>
      <c r="R3" t="s">
        <v>3601</v>
      </c>
      <c r="S3" s="178">
        <v>42544</v>
      </c>
      <c r="U3" s="186" t="s">
        <v>1775</v>
      </c>
      <c r="V3" s="178" t="s">
        <v>2571</v>
      </c>
      <c r="W3" s="178">
        <v>42544</v>
      </c>
      <c r="X3" s="6">
        <v>1150400</v>
      </c>
      <c r="Y3" s="6">
        <f t="shared" si="1"/>
        <v>0</v>
      </c>
    </row>
    <row r="4" spans="1:26" x14ac:dyDescent="0.25">
      <c r="A4" s="176" t="s">
        <v>301</v>
      </c>
      <c r="B4" t="s">
        <v>18</v>
      </c>
      <c r="C4" t="s">
        <v>239</v>
      </c>
      <c r="D4" t="s">
        <v>239</v>
      </c>
      <c r="E4" t="s">
        <v>302</v>
      </c>
      <c r="F4" s="4" t="s">
        <v>2582</v>
      </c>
      <c r="G4" t="s">
        <v>177</v>
      </c>
      <c r="H4" s="4" t="s">
        <v>178</v>
      </c>
      <c r="I4" t="s">
        <v>2581</v>
      </c>
      <c r="J4" s="4" t="s">
        <v>877</v>
      </c>
      <c r="K4" s="6">
        <v>434814</v>
      </c>
      <c r="L4" s="6">
        <f t="shared" ref="L4:L9" si="2">N4*0.2</f>
        <v>108703.40000000001</v>
      </c>
      <c r="M4" s="6">
        <f t="shared" si="0"/>
        <v>-0.40000000002328306</v>
      </c>
      <c r="N4" s="6">
        <v>543517</v>
      </c>
      <c r="O4" s="184" t="s">
        <v>3945</v>
      </c>
      <c r="P4" s="176" t="s">
        <v>3944</v>
      </c>
      <c r="Q4" s="21" t="s">
        <v>3951</v>
      </c>
      <c r="R4" t="s">
        <v>3942</v>
      </c>
      <c r="S4" s="178">
        <v>42496</v>
      </c>
      <c r="U4" t="s">
        <v>1775</v>
      </c>
      <c r="V4" s="178" t="s">
        <v>2571</v>
      </c>
      <c r="W4" s="178">
        <v>42496</v>
      </c>
      <c r="X4" s="6">
        <v>434814</v>
      </c>
      <c r="Y4" s="6">
        <f t="shared" si="1"/>
        <v>0</v>
      </c>
    </row>
    <row r="5" spans="1:26" x14ac:dyDescent="0.25">
      <c r="A5" s="176" t="s">
        <v>301</v>
      </c>
      <c r="B5" t="s">
        <v>18</v>
      </c>
      <c r="C5" t="s">
        <v>239</v>
      </c>
      <c r="D5" t="s">
        <v>239</v>
      </c>
      <c r="E5" t="s">
        <v>302</v>
      </c>
      <c r="F5" s="4" t="s">
        <v>2582</v>
      </c>
      <c r="G5" t="s">
        <v>72</v>
      </c>
      <c r="H5" s="4" t="s">
        <v>3948</v>
      </c>
      <c r="I5" t="s">
        <v>2581</v>
      </c>
      <c r="J5" s="4" t="s">
        <v>877</v>
      </c>
      <c r="K5" s="6">
        <f>4440000-K4</f>
        <v>4005186</v>
      </c>
      <c r="L5" s="6">
        <f t="shared" si="2"/>
        <v>1001296.4</v>
      </c>
      <c r="M5" s="6">
        <f t="shared" si="0"/>
        <v>-0.40000000037252903</v>
      </c>
      <c r="N5" s="6">
        <f>5549999-N4</f>
        <v>5006482</v>
      </c>
      <c r="O5" s="184" t="s">
        <v>3945</v>
      </c>
      <c r="P5" s="176" t="s">
        <v>3944</v>
      </c>
      <c r="Q5" s="21" t="s">
        <v>3950</v>
      </c>
      <c r="R5" t="s">
        <v>3942</v>
      </c>
      <c r="S5" s="178">
        <v>42496</v>
      </c>
      <c r="U5" t="s">
        <v>1775</v>
      </c>
      <c r="V5" s="178" t="s">
        <v>2571</v>
      </c>
      <c r="W5" s="178">
        <v>42496</v>
      </c>
      <c r="X5" s="6">
        <v>4005186</v>
      </c>
      <c r="Y5" s="6">
        <f t="shared" si="1"/>
        <v>0</v>
      </c>
    </row>
    <row r="6" spans="1:26" x14ac:dyDescent="0.25">
      <c r="A6" s="176" t="s">
        <v>301</v>
      </c>
      <c r="B6" t="s">
        <v>18</v>
      </c>
      <c r="C6" t="s">
        <v>239</v>
      </c>
      <c r="D6" t="s">
        <v>239</v>
      </c>
      <c r="E6" t="s">
        <v>302</v>
      </c>
      <c r="F6" s="4" t="s">
        <v>2582</v>
      </c>
      <c r="G6" t="s">
        <v>177</v>
      </c>
      <c r="H6" s="4" t="s">
        <v>178</v>
      </c>
      <c r="I6" t="s">
        <v>3947</v>
      </c>
      <c r="J6" s="4" t="s">
        <v>3946</v>
      </c>
      <c r="K6" s="6">
        <v>1837186</v>
      </c>
      <c r="L6" s="6">
        <f t="shared" si="2"/>
        <v>459296.60000000003</v>
      </c>
      <c r="M6" s="6">
        <f t="shared" si="0"/>
        <v>0.39999999990686774</v>
      </c>
      <c r="N6" s="6">
        <v>2296483</v>
      </c>
      <c r="O6" s="184" t="s">
        <v>3945</v>
      </c>
      <c r="P6" s="176" t="s">
        <v>3944</v>
      </c>
      <c r="Q6" s="21" t="s">
        <v>3949</v>
      </c>
      <c r="R6" t="s">
        <v>3942</v>
      </c>
      <c r="S6" s="178">
        <v>42496</v>
      </c>
      <c r="U6" t="s">
        <v>2570</v>
      </c>
      <c r="V6" s="178" t="s">
        <v>2571</v>
      </c>
      <c r="W6" s="178">
        <v>42496</v>
      </c>
      <c r="X6" s="6">
        <v>1837186</v>
      </c>
      <c r="Y6" s="6">
        <f t="shared" si="1"/>
        <v>0</v>
      </c>
      <c r="Z6" t="s">
        <v>3941</v>
      </c>
    </row>
    <row r="7" spans="1:26" x14ac:dyDescent="0.25">
      <c r="A7" s="176" t="s">
        <v>301</v>
      </c>
      <c r="B7" t="s">
        <v>18</v>
      </c>
      <c r="C7" t="s">
        <v>239</v>
      </c>
      <c r="D7" t="s">
        <v>239</v>
      </c>
      <c r="E7" t="s">
        <v>302</v>
      </c>
      <c r="F7" s="4" t="s">
        <v>2582</v>
      </c>
      <c r="G7" t="s">
        <v>72</v>
      </c>
      <c r="H7" s="4" t="s">
        <v>3948</v>
      </c>
      <c r="I7" t="s">
        <v>3947</v>
      </c>
      <c r="J7" s="4" t="s">
        <v>3946</v>
      </c>
      <c r="K7" s="6">
        <f>18760000-K6</f>
        <v>16922814</v>
      </c>
      <c r="L7" s="6">
        <f t="shared" si="2"/>
        <v>4230703.6000000006</v>
      </c>
      <c r="M7" s="6">
        <f t="shared" si="0"/>
        <v>0.39999999850988388</v>
      </c>
      <c r="N7" s="6">
        <f>23450001-N6</f>
        <v>21153518</v>
      </c>
      <c r="O7" s="184" t="s">
        <v>3945</v>
      </c>
      <c r="P7" s="176" t="s">
        <v>3944</v>
      </c>
      <c r="Q7" s="21" t="s">
        <v>3943</v>
      </c>
      <c r="R7" t="s">
        <v>3942</v>
      </c>
      <c r="S7" s="178">
        <v>42496</v>
      </c>
      <c r="U7" t="s">
        <v>2570</v>
      </c>
      <c r="V7" s="178" t="s">
        <v>2571</v>
      </c>
      <c r="W7" s="178">
        <v>42496</v>
      </c>
      <c r="X7" s="6">
        <v>16922814</v>
      </c>
      <c r="Y7" s="6">
        <f t="shared" si="1"/>
        <v>0</v>
      </c>
      <c r="Z7" t="s">
        <v>3941</v>
      </c>
    </row>
    <row r="8" spans="1:26" x14ac:dyDescent="0.25">
      <c r="A8" s="176" t="s">
        <v>4036</v>
      </c>
      <c r="B8" t="s">
        <v>90</v>
      </c>
      <c r="C8" t="s">
        <v>239</v>
      </c>
      <c r="D8" t="s">
        <v>4035</v>
      </c>
      <c r="E8" t="s">
        <v>4034</v>
      </c>
      <c r="F8" t="s">
        <v>4033</v>
      </c>
      <c r="G8" t="s">
        <v>212</v>
      </c>
      <c r="H8" s="4" t="s">
        <v>213</v>
      </c>
      <c r="I8" t="s">
        <v>4032</v>
      </c>
      <c r="J8" t="s">
        <v>4031</v>
      </c>
      <c r="K8" s="6">
        <v>1367749</v>
      </c>
      <c r="L8" s="6">
        <f t="shared" si="2"/>
        <v>341937.2</v>
      </c>
      <c r="M8" s="6">
        <f t="shared" si="0"/>
        <v>-0.19999999995343387</v>
      </c>
      <c r="N8" s="6">
        <v>1709686</v>
      </c>
      <c r="O8" s="184" t="s">
        <v>4030</v>
      </c>
      <c r="P8" s="176" t="s">
        <v>4029</v>
      </c>
      <c r="R8" t="s">
        <v>4028</v>
      </c>
      <c r="S8" s="178">
        <v>42475</v>
      </c>
      <c r="U8" t="s">
        <v>1775</v>
      </c>
      <c r="V8" s="178" t="s">
        <v>2571</v>
      </c>
      <c r="W8" s="178">
        <v>42475</v>
      </c>
      <c r="X8" s="6">
        <v>1367749</v>
      </c>
      <c r="Y8" s="6">
        <f t="shared" si="1"/>
        <v>0</v>
      </c>
      <c r="Z8" t="s">
        <v>4027</v>
      </c>
    </row>
    <row r="9" spans="1:26" x14ac:dyDescent="0.25">
      <c r="A9" s="176" t="s">
        <v>1796</v>
      </c>
      <c r="B9" t="s">
        <v>18</v>
      </c>
      <c r="C9" t="s">
        <v>239</v>
      </c>
      <c r="D9" t="s">
        <v>239</v>
      </c>
      <c r="E9" t="s">
        <v>3007</v>
      </c>
      <c r="F9" t="s">
        <v>3006</v>
      </c>
      <c r="G9" t="s">
        <v>72</v>
      </c>
      <c r="H9" s="4" t="s">
        <v>3005</v>
      </c>
      <c r="I9" s="4" t="s">
        <v>2715</v>
      </c>
      <c r="J9" t="s">
        <v>913</v>
      </c>
      <c r="K9" s="6">
        <v>1600000</v>
      </c>
      <c r="L9" s="6">
        <f t="shared" si="2"/>
        <v>468740</v>
      </c>
      <c r="M9" s="6">
        <f t="shared" si="0"/>
        <v>274960</v>
      </c>
      <c r="N9" s="6">
        <v>2343700</v>
      </c>
      <c r="O9" s="184" t="s">
        <v>3004</v>
      </c>
      <c r="P9" s="176" t="s">
        <v>3003</v>
      </c>
      <c r="Q9" t="s">
        <v>3002</v>
      </c>
      <c r="R9" t="s">
        <v>3001</v>
      </c>
      <c r="S9" s="178">
        <v>42030</v>
      </c>
      <c r="U9" t="s">
        <v>2301</v>
      </c>
      <c r="V9" s="178" t="s">
        <v>2604</v>
      </c>
      <c r="W9" s="178">
        <v>42600</v>
      </c>
      <c r="X9" s="6">
        <v>1600000</v>
      </c>
      <c r="Y9" s="6">
        <f t="shared" si="1"/>
        <v>0</v>
      </c>
      <c r="Z9" t="s">
        <v>3000</v>
      </c>
    </row>
    <row r="10" spans="1:26" ht="45" x14ac:dyDescent="0.25">
      <c r="A10" s="188" t="s">
        <v>1801</v>
      </c>
      <c r="B10" t="s">
        <v>18</v>
      </c>
      <c r="C10" s="61" t="s">
        <v>239</v>
      </c>
      <c r="D10" s="61" t="s">
        <v>239</v>
      </c>
      <c r="E10" s="61" t="s">
        <v>41</v>
      </c>
      <c r="F10" s="15" t="s">
        <v>103</v>
      </c>
      <c r="G10" s="61" t="s">
        <v>72</v>
      </c>
      <c r="H10" s="15" t="s">
        <v>3677</v>
      </c>
      <c r="I10" s="15" t="s">
        <v>2284</v>
      </c>
      <c r="J10" s="15" t="s">
        <v>889</v>
      </c>
      <c r="K10" s="183">
        <v>1920000</v>
      </c>
      <c r="L10" s="183">
        <f>K10*1.25-K10</f>
        <v>480000</v>
      </c>
      <c r="M10" s="183">
        <f t="shared" si="0"/>
        <v>0</v>
      </c>
      <c r="N10" s="183">
        <v>2400000</v>
      </c>
      <c r="O10" s="189" t="s">
        <v>1800</v>
      </c>
      <c r="P10" s="188" t="s">
        <v>1802</v>
      </c>
      <c r="Q10" s="201" t="s">
        <v>3676</v>
      </c>
      <c r="R10" s="61" t="s">
        <v>3675</v>
      </c>
      <c r="S10" s="185">
        <v>42542</v>
      </c>
      <c r="T10" s="61"/>
      <c r="U10" s="61" t="s">
        <v>1775</v>
      </c>
      <c r="V10" s="185" t="s">
        <v>2571</v>
      </c>
      <c r="W10" s="185">
        <v>42542</v>
      </c>
      <c r="X10" s="183">
        <v>1920000</v>
      </c>
      <c r="Y10" s="183">
        <f t="shared" si="1"/>
        <v>0</v>
      </c>
      <c r="Z10" s="61"/>
    </row>
    <row r="11" spans="1:26" x14ac:dyDescent="0.25">
      <c r="A11" s="176" t="s">
        <v>2701</v>
      </c>
      <c r="B11" t="s">
        <v>90</v>
      </c>
      <c r="C11" t="s">
        <v>239</v>
      </c>
      <c r="D11" s="4" t="s">
        <v>239</v>
      </c>
      <c r="E11" s="4" t="s">
        <v>2700</v>
      </c>
      <c r="F11" s="4" t="s">
        <v>2699</v>
      </c>
      <c r="G11" s="4" t="s">
        <v>177</v>
      </c>
      <c r="H11" s="4" t="s">
        <v>178</v>
      </c>
      <c r="I11" s="4" t="s">
        <v>1275</v>
      </c>
      <c r="J11" s="4" t="s">
        <v>873</v>
      </c>
      <c r="K11" s="6">
        <v>305100</v>
      </c>
      <c r="L11" s="6">
        <f>N11*0.1</f>
        <v>33900</v>
      </c>
      <c r="M11" s="6">
        <f t="shared" si="0"/>
        <v>0</v>
      </c>
      <c r="N11" s="6">
        <v>339000</v>
      </c>
      <c r="O11" s="184" t="s">
        <v>2697</v>
      </c>
      <c r="P11" s="176" t="s">
        <v>2696</v>
      </c>
      <c r="Q11" t="s">
        <v>2702</v>
      </c>
      <c r="R11" t="s">
        <v>2694</v>
      </c>
      <c r="S11" s="178">
        <v>42634</v>
      </c>
      <c r="T11" s="178"/>
      <c r="U11" t="s">
        <v>1775</v>
      </c>
      <c r="V11" t="s">
        <v>2571</v>
      </c>
      <c r="W11" s="178">
        <v>42634</v>
      </c>
      <c r="X11" s="6">
        <v>305100</v>
      </c>
      <c r="Y11" s="6">
        <f t="shared" si="1"/>
        <v>0</v>
      </c>
    </row>
    <row r="12" spans="1:26" x14ac:dyDescent="0.25">
      <c r="A12" s="176" t="s">
        <v>2701</v>
      </c>
      <c r="B12" t="s">
        <v>90</v>
      </c>
      <c r="C12" t="s">
        <v>239</v>
      </c>
      <c r="D12" s="4" t="s">
        <v>239</v>
      </c>
      <c r="E12" s="4" t="s">
        <v>2700</v>
      </c>
      <c r="F12" s="4" t="s">
        <v>2699</v>
      </c>
      <c r="G12" s="4" t="s">
        <v>72</v>
      </c>
      <c r="H12" s="4" t="s">
        <v>2698</v>
      </c>
      <c r="I12" s="4" t="s">
        <v>1275</v>
      </c>
      <c r="J12" s="4" t="s">
        <v>873</v>
      </c>
      <c r="K12" s="6">
        <v>2745900</v>
      </c>
      <c r="L12" s="6">
        <f>N12*0.1</f>
        <v>305100</v>
      </c>
      <c r="M12" s="6">
        <f t="shared" si="0"/>
        <v>0</v>
      </c>
      <c r="N12" s="6">
        <v>3051000</v>
      </c>
      <c r="O12" s="184" t="s">
        <v>2697</v>
      </c>
      <c r="P12" s="176" t="s">
        <v>2696</v>
      </c>
      <c r="Q12" t="s">
        <v>2695</v>
      </c>
      <c r="R12" t="s">
        <v>2694</v>
      </c>
      <c r="S12" s="178">
        <v>42634</v>
      </c>
      <c r="T12" s="178"/>
      <c r="U12" t="s">
        <v>1775</v>
      </c>
      <c r="V12" t="s">
        <v>2571</v>
      </c>
      <c r="W12" s="178">
        <v>42634</v>
      </c>
      <c r="X12" s="6">
        <v>2745900</v>
      </c>
      <c r="Y12" s="6">
        <f t="shared" si="1"/>
        <v>0</v>
      </c>
    </row>
    <row r="13" spans="1:26" x14ac:dyDescent="0.25">
      <c r="A13" s="176" t="s">
        <v>3449</v>
      </c>
      <c r="B13" t="s">
        <v>18</v>
      </c>
      <c r="C13" t="s">
        <v>239</v>
      </c>
      <c r="D13" t="s">
        <v>239</v>
      </c>
      <c r="E13" s="4" t="s">
        <v>41</v>
      </c>
      <c r="F13" s="4" t="s">
        <v>3448</v>
      </c>
      <c r="G13" t="s">
        <v>177</v>
      </c>
      <c r="H13" s="4" t="s">
        <v>178</v>
      </c>
      <c r="I13" s="4" t="s">
        <v>2599</v>
      </c>
      <c r="J13" s="4" t="s">
        <v>881</v>
      </c>
      <c r="K13" s="6">
        <v>85000</v>
      </c>
      <c r="L13" s="6">
        <v>0</v>
      </c>
      <c r="M13" s="6">
        <f t="shared" si="0"/>
        <v>0</v>
      </c>
      <c r="N13" s="6">
        <v>85000</v>
      </c>
      <c r="O13" s="184" t="s">
        <v>3447</v>
      </c>
      <c r="P13" s="176" t="s">
        <v>3446</v>
      </c>
      <c r="Q13" t="s">
        <v>3450</v>
      </c>
      <c r="R13" t="s">
        <v>3444</v>
      </c>
      <c r="S13" s="178">
        <v>42430</v>
      </c>
      <c r="T13" s="178"/>
      <c r="U13" t="s">
        <v>2301</v>
      </c>
      <c r="V13" s="178" t="s">
        <v>2604</v>
      </c>
      <c r="W13" s="178">
        <v>42565</v>
      </c>
      <c r="X13" s="6">
        <v>85000</v>
      </c>
      <c r="Y13" s="6">
        <f t="shared" si="1"/>
        <v>0</v>
      </c>
    </row>
    <row r="14" spans="1:26" x14ac:dyDescent="0.25">
      <c r="A14" s="176" t="s">
        <v>3449</v>
      </c>
      <c r="B14" t="s">
        <v>18</v>
      </c>
      <c r="C14" t="s">
        <v>239</v>
      </c>
      <c r="D14" t="s">
        <v>239</v>
      </c>
      <c r="E14" s="4" t="s">
        <v>41</v>
      </c>
      <c r="F14" s="4" t="s">
        <v>3448</v>
      </c>
      <c r="G14" t="s">
        <v>72</v>
      </c>
      <c r="H14" s="4" t="s">
        <v>3118</v>
      </c>
      <c r="I14" t="s">
        <v>2599</v>
      </c>
      <c r="J14" t="s">
        <v>881</v>
      </c>
      <c r="K14" s="6">
        <f>247706+114564</f>
        <v>362270</v>
      </c>
      <c r="L14" s="6">
        <v>0</v>
      </c>
      <c r="M14" s="6">
        <f t="shared" si="0"/>
        <v>0</v>
      </c>
      <c r="N14" s="6">
        <f>247706+114564</f>
        <v>362270</v>
      </c>
      <c r="O14" s="184" t="s">
        <v>3447</v>
      </c>
      <c r="P14" s="176" t="s">
        <v>3446</v>
      </c>
      <c r="Q14" t="s">
        <v>3445</v>
      </c>
      <c r="R14" t="s">
        <v>3444</v>
      </c>
      <c r="S14" s="178">
        <v>42430</v>
      </c>
      <c r="T14" s="178">
        <v>42482</v>
      </c>
      <c r="U14" t="s">
        <v>2301</v>
      </c>
      <c r="V14" s="178" t="s">
        <v>2604</v>
      </c>
      <c r="W14" s="178">
        <v>42565</v>
      </c>
      <c r="X14" s="6">
        <v>572000</v>
      </c>
      <c r="Y14" s="6">
        <f t="shared" si="1"/>
        <v>-209730</v>
      </c>
    </row>
    <row r="15" spans="1:26" x14ac:dyDescent="0.25">
      <c r="A15" s="176" t="s">
        <v>313</v>
      </c>
      <c r="B15" t="s">
        <v>90</v>
      </c>
      <c r="C15" t="s">
        <v>239</v>
      </c>
      <c r="D15" t="s">
        <v>239</v>
      </c>
      <c r="E15" t="s">
        <v>1032</v>
      </c>
      <c r="F15" t="s">
        <v>3030</v>
      </c>
      <c r="G15" t="s">
        <v>177</v>
      </c>
      <c r="H15" s="4" t="s">
        <v>178</v>
      </c>
      <c r="I15" t="s">
        <v>1275</v>
      </c>
      <c r="J15" t="s">
        <v>873</v>
      </c>
      <c r="K15" s="6">
        <v>882000</v>
      </c>
      <c r="L15" s="6">
        <f t="shared" ref="L15:L21" si="3">N15*0.1</f>
        <v>98000</v>
      </c>
      <c r="M15" s="6">
        <f t="shared" si="0"/>
        <v>0</v>
      </c>
      <c r="N15" s="6">
        <v>980000</v>
      </c>
      <c r="O15" s="184" t="s">
        <v>3600</v>
      </c>
      <c r="P15" s="176" t="s">
        <v>3599</v>
      </c>
      <c r="Q15" s="22" t="s">
        <v>3598</v>
      </c>
      <c r="R15" t="s">
        <v>3597</v>
      </c>
      <c r="S15" s="178">
        <v>42544</v>
      </c>
      <c r="U15" t="s">
        <v>1775</v>
      </c>
      <c r="V15" s="178" t="s">
        <v>2571</v>
      </c>
      <c r="W15" s="178">
        <v>42544</v>
      </c>
      <c r="X15" s="6">
        <v>882000</v>
      </c>
      <c r="Y15" s="6">
        <f t="shared" si="1"/>
        <v>0</v>
      </c>
      <c r="Z15" t="s">
        <v>3024</v>
      </c>
    </row>
    <row r="16" spans="1:26" x14ac:dyDescent="0.25">
      <c r="A16" s="176" t="s">
        <v>313</v>
      </c>
      <c r="B16" t="s">
        <v>90</v>
      </c>
      <c r="C16" t="s">
        <v>239</v>
      </c>
      <c r="D16" t="s">
        <v>239</v>
      </c>
      <c r="E16" t="s">
        <v>1032</v>
      </c>
      <c r="F16" t="s">
        <v>3030</v>
      </c>
      <c r="G16" t="s">
        <v>72</v>
      </c>
      <c r="H16" s="4" t="s">
        <v>1196</v>
      </c>
      <c r="I16" t="s">
        <v>1275</v>
      </c>
      <c r="J16" t="s">
        <v>873</v>
      </c>
      <c r="K16" s="6">
        <f>8820000-K15</f>
        <v>7938000</v>
      </c>
      <c r="L16" s="6">
        <f t="shared" si="3"/>
        <v>882000</v>
      </c>
      <c r="M16" s="6">
        <f t="shared" si="0"/>
        <v>0</v>
      </c>
      <c r="N16" s="6">
        <f>9800000-N15</f>
        <v>8820000</v>
      </c>
      <c r="O16" s="184" t="s">
        <v>3600</v>
      </c>
      <c r="P16" s="176" t="s">
        <v>3599</v>
      </c>
      <c r="Q16" s="22" t="s">
        <v>3598</v>
      </c>
      <c r="R16" t="s">
        <v>3597</v>
      </c>
      <c r="S16" s="178">
        <v>42544</v>
      </c>
      <c r="T16" s="178">
        <v>42531</v>
      </c>
      <c r="U16" t="s">
        <v>1775</v>
      </c>
      <c r="V16" s="178" t="s">
        <v>2571</v>
      </c>
      <c r="W16" s="178">
        <v>42544</v>
      </c>
      <c r="X16" s="6">
        <v>7938000</v>
      </c>
      <c r="Y16" s="6">
        <f t="shared" si="1"/>
        <v>0</v>
      </c>
      <c r="Z16" t="s">
        <v>3024</v>
      </c>
    </row>
    <row r="17" spans="1:26" x14ac:dyDescent="0.25">
      <c r="A17" s="176" t="s">
        <v>313</v>
      </c>
      <c r="B17" t="s">
        <v>90</v>
      </c>
      <c r="C17" t="s">
        <v>239</v>
      </c>
      <c r="D17" t="s">
        <v>239</v>
      </c>
      <c r="E17" t="s">
        <v>1032</v>
      </c>
      <c r="F17" t="s">
        <v>3030</v>
      </c>
      <c r="G17" t="s">
        <v>177</v>
      </c>
      <c r="H17" s="4" t="s">
        <v>178</v>
      </c>
      <c r="I17" s="61" t="s">
        <v>1275</v>
      </c>
      <c r="J17" t="s">
        <v>873</v>
      </c>
      <c r="K17" s="6">
        <v>2340000</v>
      </c>
      <c r="L17" s="6">
        <f t="shared" si="3"/>
        <v>260000</v>
      </c>
      <c r="M17" s="6">
        <f t="shared" si="0"/>
        <v>0</v>
      </c>
      <c r="N17" s="6">
        <v>2600000</v>
      </c>
      <c r="O17" s="184" t="s">
        <v>3034</v>
      </c>
      <c r="P17" s="176" t="s">
        <v>3033</v>
      </c>
      <c r="Q17" t="s">
        <v>3035</v>
      </c>
      <c r="R17" t="s">
        <v>3031</v>
      </c>
      <c r="S17" s="178">
        <v>42495</v>
      </c>
      <c r="U17" t="s">
        <v>2301</v>
      </c>
      <c r="V17" s="178" t="s">
        <v>2604</v>
      </c>
      <c r="W17" s="178">
        <v>42597</v>
      </c>
      <c r="X17" s="6">
        <v>2340000</v>
      </c>
      <c r="Y17" s="6">
        <f t="shared" si="1"/>
        <v>0</v>
      </c>
      <c r="Z17" t="s">
        <v>3024</v>
      </c>
    </row>
    <row r="18" spans="1:26" x14ac:dyDescent="0.25">
      <c r="A18" s="176" t="s">
        <v>313</v>
      </c>
      <c r="B18" t="s">
        <v>90</v>
      </c>
      <c r="C18" t="s">
        <v>239</v>
      </c>
      <c r="D18" t="s">
        <v>239</v>
      </c>
      <c r="E18" t="s">
        <v>1032</v>
      </c>
      <c r="F18" t="s">
        <v>3030</v>
      </c>
      <c r="G18" t="s">
        <v>72</v>
      </c>
      <c r="H18" s="4" t="s">
        <v>1195</v>
      </c>
      <c r="I18" s="61" t="s">
        <v>1275</v>
      </c>
      <c r="J18" t="s">
        <v>873</v>
      </c>
      <c r="K18" s="6">
        <v>20144992</v>
      </c>
      <c r="L18" s="6">
        <f t="shared" si="3"/>
        <v>2241641.1</v>
      </c>
      <c r="M18" s="6">
        <f t="shared" si="0"/>
        <v>29777.89999999851</v>
      </c>
      <c r="N18" s="6">
        <v>22416411</v>
      </c>
      <c r="O18" s="184" t="s">
        <v>3034</v>
      </c>
      <c r="P18" s="176" t="s">
        <v>3033</v>
      </c>
      <c r="Q18" t="s">
        <v>3032</v>
      </c>
      <c r="R18" t="s">
        <v>3031</v>
      </c>
      <c r="S18" s="178">
        <v>42495</v>
      </c>
      <c r="T18" s="178">
        <v>42531</v>
      </c>
      <c r="U18" t="s">
        <v>2301</v>
      </c>
      <c r="V18" s="178" t="s">
        <v>2604</v>
      </c>
      <c r="W18" s="178">
        <v>42597</v>
      </c>
      <c r="X18" s="6">
        <v>21060000</v>
      </c>
      <c r="Y18" s="6">
        <f t="shared" si="1"/>
        <v>-915008</v>
      </c>
      <c r="Z18" t="s">
        <v>3024</v>
      </c>
    </row>
    <row r="19" spans="1:26" x14ac:dyDescent="0.25">
      <c r="A19" s="176" t="s">
        <v>313</v>
      </c>
      <c r="B19" t="s">
        <v>90</v>
      </c>
      <c r="C19" t="s">
        <v>239</v>
      </c>
      <c r="D19" t="s">
        <v>239</v>
      </c>
      <c r="E19" t="s">
        <v>1032</v>
      </c>
      <c r="F19" t="s">
        <v>3030</v>
      </c>
      <c r="G19" t="s">
        <v>177</v>
      </c>
      <c r="H19" s="4" t="s">
        <v>178</v>
      </c>
      <c r="I19" t="s">
        <v>1275</v>
      </c>
      <c r="J19" t="s">
        <v>3029</v>
      </c>
      <c r="K19" s="6">
        <v>1035000</v>
      </c>
      <c r="L19" s="6">
        <f t="shared" si="3"/>
        <v>115000</v>
      </c>
      <c r="M19" s="6">
        <f t="shared" si="0"/>
        <v>0</v>
      </c>
      <c r="N19" s="6">
        <v>1150000</v>
      </c>
      <c r="O19" s="184" t="s">
        <v>3028</v>
      </c>
      <c r="P19" s="176" t="s">
        <v>3027</v>
      </c>
      <c r="Q19" s="22" t="s">
        <v>3026</v>
      </c>
      <c r="R19" t="s">
        <v>3025</v>
      </c>
      <c r="S19" s="178">
        <v>42495</v>
      </c>
      <c r="U19" t="s">
        <v>2570</v>
      </c>
      <c r="V19" s="178" t="s">
        <v>2604</v>
      </c>
      <c r="W19" s="178">
        <v>42597</v>
      </c>
      <c r="X19" s="6">
        <v>1035000</v>
      </c>
      <c r="Y19" s="6">
        <f t="shared" si="1"/>
        <v>0</v>
      </c>
      <c r="Z19" t="s">
        <v>3024</v>
      </c>
    </row>
    <row r="20" spans="1:26" x14ac:dyDescent="0.25">
      <c r="A20" s="176" t="s">
        <v>313</v>
      </c>
      <c r="B20" t="s">
        <v>90</v>
      </c>
      <c r="C20" t="s">
        <v>239</v>
      </c>
      <c r="D20" t="s">
        <v>239</v>
      </c>
      <c r="E20" t="s">
        <v>1032</v>
      </c>
      <c r="F20" t="s">
        <v>3030</v>
      </c>
      <c r="G20" t="s">
        <v>72</v>
      </c>
      <c r="H20" s="4" t="s">
        <v>1196</v>
      </c>
      <c r="I20" t="s">
        <v>1275</v>
      </c>
      <c r="J20" t="s">
        <v>3029</v>
      </c>
      <c r="K20" s="6">
        <v>8649669</v>
      </c>
      <c r="L20" s="6">
        <f t="shared" si="3"/>
        <v>962270.9</v>
      </c>
      <c r="M20" s="6">
        <f t="shared" si="0"/>
        <v>10769.099999999627</v>
      </c>
      <c r="N20" s="6">
        <v>9622709</v>
      </c>
      <c r="O20" s="184" t="s">
        <v>3028</v>
      </c>
      <c r="P20" s="176" t="s">
        <v>3027</v>
      </c>
      <c r="Q20" s="22" t="s">
        <v>3026</v>
      </c>
      <c r="R20" t="s">
        <v>3025</v>
      </c>
      <c r="S20" s="178">
        <v>42495</v>
      </c>
      <c r="T20" s="178">
        <v>42531</v>
      </c>
      <c r="U20" t="s">
        <v>2570</v>
      </c>
      <c r="V20" s="178" t="s">
        <v>2604</v>
      </c>
      <c r="W20" s="178">
        <v>42597</v>
      </c>
      <c r="X20" s="6">
        <v>9315000</v>
      </c>
      <c r="Y20" s="6">
        <f t="shared" si="1"/>
        <v>-665331</v>
      </c>
      <c r="Z20" t="s">
        <v>3024</v>
      </c>
    </row>
    <row r="21" spans="1:26" x14ac:dyDescent="0.25">
      <c r="A21" s="176" t="s">
        <v>4501</v>
      </c>
      <c r="B21" t="s">
        <v>18</v>
      </c>
      <c r="C21" t="s">
        <v>239</v>
      </c>
      <c r="D21" t="s">
        <v>239</v>
      </c>
      <c r="E21" t="s">
        <v>4500</v>
      </c>
      <c r="F21" t="s">
        <v>4499</v>
      </c>
      <c r="G21" t="s">
        <v>117</v>
      </c>
      <c r="H21" s="4" t="s">
        <v>119</v>
      </c>
      <c r="I21" t="s">
        <v>2581</v>
      </c>
      <c r="J21" t="s">
        <v>877</v>
      </c>
      <c r="K21" s="6">
        <v>318713</v>
      </c>
      <c r="L21" s="6">
        <f t="shared" si="3"/>
        <v>39839.100000000006</v>
      </c>
      <c r="M21" s="6">
        <f t="shared" si="0"/>
        <v>39838.900000000023</v>
      </c>
      <c r="N21" s="6">
        <v>398391</v>
      </c>
      <c r="O21" s="184" t="s">
        <v>4498</v>
      </c>
      <c r="P21" s="176" t="s">
        <v>4497</v>
      </c>
      <c r="Q21" s="4" t="s">
        <v>4496</v>
      </c>
      <c r="R21" t="s">
        <v>4495</v>
      </c>
      <c r="S21" s="178">
        <v>42335</v>
      </c>
      <c r="U21" t="s">
        <v>1775</v>
      </c>
      <c r="V21" s="178" t="s">
        <v>2571</v>
      </c>
      <c r="W21" s="178">
        <v>42338</v>
      </c>
      <c r="X21" s="6">
        <v>318713</v>
      </c>
      <c r="Y21" s="6">
        <f t="shared" si="1"/>
        <v>0</v>
      </c>
    </row>
    <row r="22" spans="1:26" x14ac:dyDescent="0.25">
      <c r="A22" s="176" t="s">
        <v>3050</v>
      </c>
      <c r="B22" t="s">
        <v>18</v>
      </c>
      <c r="C22" t="s">
        <v>239</v>
      </c>
      <c r="D22" t="s">
        <v>239</v>
      </c>
      <c r="E22" t="s">
        <v>3049</v>
      </c>
      <c r="F22" s="4" t="s">
        <v>3048</v>
      </c>
      <c r="G22" t="s">
        <v>177</v>
      </c>
      <c r="H22" s="4" t="s">
        <v>178</v>
      </c>
      <c r="I22" s="61" t="s">
        <v>3040</v>
      </c>
      <c r="J22" t="s">
        <v>868</v>
      </c>
      <c r="K22" s="6">
        <v>128000</v>
      </c>
      <c r="L22" s="6">
        <f>N22*0.2</f>
        <v>32000</v>
      </c>
      <c r="M22" s="6">
        <f t="shared" si="0"/>
        <v>0</v>
      </c>
      <c r="N22" s="6">
        <v>160000</v>
      </c>
      <c r="O22" s="184" t="s">
        <v>3047</v>
      </c>
      <c r="P22" s="176" t="s">
        <v>3046</v>
      </c>
      <c r="Q22" t="s">
        <v>3045</v>
      </c>
      <c r="R22" t="s">
        <v>3044</v>
      </c>
      <c r="S22" s="178">
        <v>42488</v>
      </c>
      <c r="T22" s="178"/>
      <c r="U22" t="s">
        <v>2570</v>
      </c>
      <c r="V22" s="178" t="s">
        <v>2604</v>
      </c>
      <c r="W22" s="178">
        <v>42597</v>
      </c>
      <c r="X22" s="6">
        <v>128000</v>
      </c>
      <c r="Y22" s="6">
        <f t="shared" si="1"/>
        <v>0</v>
      </c>
    </row>
    <row r="23" spans="1:26" x14ac:dyDescent="0.25">
      <c r="A23" s="176" t="s">
        <v>3050</v>
      </c>
      <c r="B23" t="s">
        <v>18</v>
      </c>
      <c r="C23" t="s">
        <v>239</v>
      </c>
      <c r="D23" t="s">
        <v>239</v>
      </c>
      <c r="E23" t="s">
        <v>3049</v>
      </c>
      <c r="F23" s="4" t="s">
        <v>3048</v>
      </c>
      <c r="G23" t="s">
        <v>72</v>
      </c>
      <c r="H23" s="4" t="s">
        <v>651</v>
      </c>
      <c r="I23" s="61" t="s">
        <v>3040</v>
      </c>
      <c r="J23" t="s">
        <v>868</v>
      </c>
      <c r="K23" s="6">
        <v>531116</v>
      </c>
      <c r="L23" s="6">
        <f>N23*0.2</f>
        <v>132779</v>
      </c>
      <c r="M23" s="6">
        <f t="shared" si="0"/>
        <v>0</v>
      </c>
      <c r="N23" s="6">
        <v>663895</v>
      </c>
      <c r="O23" s="184" t="s">
        <v>3047</v>
      </c>
      <c r="P23" s="176" t="s">
        <v>3046</v>
      </c>
      <c r="Q23" t="s">
        <v>3045</v>
      </c>
      <c r="R23" t="s">
        <v>3044</v>
      </c>
      <c r="S23" s="178">
        <v>42488</v>
      </c>
      <c r="T23" s="178">
        <v>42531</v>
      </c>
      <c r="U23" t="s">
        <v>2570</v>
      </c>
      <c r="V23" s="178" t="s">
        <v>2604</v>
      </c>
      <c r="W23" s="178">
        <v>42597</v>
      </c>
      <c r="X23" s="6">
        <v>1152000</v>
      </c>
      <c r="Y23" s="6">
        <f t="shared" si="1"/>
        <v>-620884</v>
      </c>
    </row>
    <row r="24" spans="1:26" x14ac:dyDescent="0.25">
      <c r="A24" s="176" t="s">
        <v>3056</v>
      </c>
      <c r="B24" t="s">
        <v>90</v>
      </c>
      <c r="C24" t="s">
        <v>239</v>
      </c>
      <c r="D24" t="s">
        <v>239</v>
      </c>
      <c r="E24" t="s">
        <v>240</v>
      </c>
      <c r="F24" t="s">
        <v>3055</v>
      </c>
      <c r="G24" t="s">
        <v>177</v>
      </c>
      <c r="H24" s="4" t="s">
        <v>178</v>
      </c>
      <c r="I24" s="61" t="s">
        <v>1275</v>
      </c>
      <c r="J24" t="s">
        <v>873</v>
      </c>
      <c r="K24" s="6">
        <v>135000</v>
      </c>
      <c r="L24" s="6">
        <f>N24*0.1</f>
        <v>15000</v>
      </c>
      <c r="M24" s="6">
        <f t="shared" si="0"/>
        <v>0</v>
      </c>
      <c r="N24" s="6">
        <v>150000</v>
      </c>
      <c r="O24" s="184" t="s">
        <v>3054</v>
      </c>
      <c r="P24" s="176" t="s">
        <v>3053</v>
      </c>
      <c r="Q24" s="184" t="s">
        <v>3052</v>
      </c>
      <c r="R24" t="s">
        <v>3051</v>
      </c>
      <c r="S24" s="178">
        <v>42488</v>
      </c>
      <c r="T24" s="178"/>
      <c r="U24" t="s">
        <v>2301</v>
      </c>
      <c r="V24" s="178" t="s">
        <v>2604</v>
      </c>
      <c r="W24" s="178">
        <v>42597</v>
      </c>
      <c r="X24" s="6">
        <v>135000</v>
      </c>
      <c r="Y24" s="6">
        <f t="shared" si="1"/>
        <v>0</v>
      </c>
      <c r="Z24" s="15"/>
    </row>
    <row r="25" spans="1:26" x14ac:dyDescent="0.25">
      <c r="A25" s="176" t="s">
        <v>3056</v>
      </c>
      <c r="B25" t="s">
        <v>90</v>
      </c>
      <c r="C25" t="s">
        <v>239</v>
      </c>
      <c r="D25" t="s">
        <v>239</v>
      </c>
      <c r="E25" t="s">
        <v>240</v>
      </c>
      <c r="F25" t="s">
        <v>3055</v>
      </c>
      <c r="G25" t="s">
        <v>72</v>
      </c>
      <c r="H25" s="4" t="s">
        <v>2609</v>
      </c>
      <c r="I25" s="61" t="s">
        <v>1275</v>
      </c>
      <c r="J25" t="s">
        <v>873</v>
      </c>
      <c r="K25" s="6">
        <v>1796249</v>
      </c>
      <c r="L25" s="6">
        <f>N25*0.1</f>
        <v>202208.30000000002</v>
      </c>
      <c r="M25" s="6">
        <f t="shared" si="0"/>
        <v>23625.699999999953</v>
      </c>
      <c r="N25" s="6">
        <v>2022083</v>
      </c>
      <c r="O25" s="184" t="s">
        <v>3054</v>
      </c>
      <c r="P25" s="176" t="s">
        <v>3053</v>
      </c>
      <c r="Q25" s="184" t="s">
        <v>3052</v>
      </c>
      <c r="R25" t="s">
        <v>3051</v>
      </c>
      <c r="S25" s="178">
        <v>42488</v>
      </c>
      <c r="T25" s="178">
        <v>42531</v>
      </c>
      <c r="U25" t="s">
        <v>2301</v>
      </c>
      <c r="V25" s="178" t="s">
        <v>2604</v>
      </c>
      <c r="W25" s="178">
        <v>42597</v>
      </c>
      <c r="X25" s="6">
        <v>1215000</v>
      </c>
      <c r="Y25" s="6">
        <f t="shared" si="1"/>
        <v>581249</v>
      </c>
      <c r="Z25" s="15"/>
    </row>
    <row r="26" spans="1:26" x14ac:dyDescent="0.25">
      <c r="A26" s="176" t="s">
        <v>2934</v>
      </c>
      <c r="B26" t="s">
        <v>18</v>
      </c>
      <c r="C26" t="s">
        <v>239</v>
      </c>
      <c r="D26" t="s">
        <v>239</v>
      </c>
      <c r="E26" t="s">
        <v>41</v>
      </c>
      <c r="F26" t="s">
        <v>2962</v>
      </c>
      <c r="G26" t="s">
        <v>177</v>
      </c>
      <c r="H26" s="4" t="s">
        <v>178</v>
      </c>
      <c r="I26" t="s">
        <v>2581</v>
      </c>
      <c r="J26" t="s">
        <v>877</v>
      </c>
      <c r="K26" s="6">
        <v>1432000</v>
      </c>
      <c r="L26" s="6">
        <f t="shared" ref="L26:L34" si="4">N26*0.2</f>
        <v>358000</v>
      </c>
      <c r="M26" s="6">
        <f t="shared" si="0"/>
        <v>0</v>
      </c>
      <c r="N26" s="6">
        <v>1790000</v>
      </c>
      <c r="O26" s="184" t="s">
        <v>2961</v>
      </c>
      <c r="P26" s="176" t="s">
        <v>2960</v>
      </c>
      <c r="Q26" t="s">
        <v>2963</v>
      </c>
      <c r="R26" t="s">
        <v>2958</v>
      </c>
      <c r="S26" s="178">
        <v>42480</v>
      </c>
      <c r="U26" t="s">
        <v>1775</v>
      </c>
      <c r="V26" s="178" t="s">
        <v>2604</v>
      </c>
      <c r="W26" s="178">
        <v>42611</v>
      </c>
      <c r="X26" s="6">
        <v>1432000</v>
      </c>
      <c r="Y26" s="6">
        <f t="shared" si="1"/>
        <v>0</v>
      </c>
    </row>
    <row r="27" spans="1:26" x14ac:dyDescent="0.25">
      <c r="A27" s="176" t="s">
        <v>2934</v>
      </c>
      <c r="B27" t="s">
        <v>18</v>
      </c>
      <c r="C27" t="s">
        <v>239</v>
      </c>
      <c r="D27" t="s">
        <v>239</v>
      </c>
      <c r="E27" t="s">
        <v>41</v>
      </c>
      <c r="F27" t="s">
        <v>2962</v>
      </c>
      <c r="G27" t="s">
        <v>72</v>
      </c>
      <c r="H27" s="4" t="s">
        <v>2609</v>
      </c>
      <c r="I27" t="s">
        <v>2581</v>
      </c>
      <c r="J27" t="s">
        <v>877</v>
      </c>
      <c r="K27" s="6">
        <v>9003682.6699999999</v>
      </c>
      <c r="L27" s="6">
        <f t="shared" si="4"/>
        <v>2250920.6680000001</v>
      </c>
      <c r="M27" s="6">
        <f t="shared" si="0"/>
        <v>2.0000003278255463E-3</v>
      </c>
      <c r="N27" s="6">
        <v>11254603.34</v>
      </c>
      <c r="O27" s="184" t="s">
        <v>2961</v>
      </c>
      <c r="P27" s="176" t="s">
        <v>2960</v>
      </c>
      <c r="Q27" t="s">
        <v>2959</v>
      </c>
      <c r="R27" t="s">
        <v>2958</v>
      </c>
      <c r="S27" s="178">
        <v>42480</v>
      </c>
      <c r="U27" t="s">
        <v>1775</v>
      </c>
      <c r="V27" s="178" t="s">
        <v>2604</v>
      </c>
      <c r="W27" s="178">
        <v>42611</v>
      </c>
      <c r="X27" s="6">
        <v>9920000</v>
      </c>
      <c r="Y27" s="6">
        <f t="shared" si="1"/>
        <v>-916317.33000000007</v>
      </c>
    </row>
    <row r="28" spans="1:26" x14ac:dyDescent="0.25">
      <c r="A28" s="176" t="s">
        <v>2934</v>
      </c>
      <c r="B28" t="s">
        <v>18</v>
      </c>
      <c r="C28" t="s">
        <v>239</v>
      </c>
      <c r="D28" t="s">
        <v>239</v>
      </c>
      <c r="E28" t="s">
        <v>41</v>
      </c>
      <c r="F28" t="s">
        <v>2956</v>
      </c>
      <c r="G28" t="s">
        <v>177</v>
      </c>
      <c r="H28" s="4" t="s">
        <v>178</v>
      </c>
      <c r="I28" t="s">
        <v>2581</v>
      </c>
      <c r="J28" t="s">
        <v>877</v>
      </c>
      <c r="K28" s="6">
        <v>992000</v>
      </c>
      <c r="L28" s="6">
        <f t="shared" si="4"/>
        <v>248000</v>
      </c>
      <c r="M28" s="6">
        <f t="shared" si="0"/>
        <v>0</v>
      </c>
      <c r="N28" s="6">
        <v>1240000</v>
      </c>
      <c r="O28" s="184" t="s">
        <v>2955</v>
      </c>
      <c r="P28" s="176" t="s">
        <v>2954</v>
      </c>
      <c r="Q28" t="s">
        <v>2957</v>
      </c>
      <c r="R28" t="s">
        <v>2952</v>
      </c>
      <c r="S28" s="178">
        <v>42485</v>
      </c>
      <c r="U28" t="s">
        <v>1775</v>
      </c>
      <c r="V28" s="178" t="s">
        <v>2604</v>
      </c>
      <c r="W28" s="178">
        <v>42611</v>
      </c>
      <c r="X28" s="6">
        <v>992000</v>
      </c>
      <c r="Y28" s="6">
        <f t="shared" si="1"/>
        <v>0</v>
      </c>
    </row>
    <row r="29" spans="1:26" x14ac:dyDescent="0.25">
      <c r="A29" s="176" t="s">
        <v>2934</v>
      </c>
      <c r="B29" t="s">
        <v>18</v>
      </c>
      <c r="C29" t="s">
        <v>239</v>
      </c>
      <c r="D29" t="s">
        <v>239</v>
      </c>
      <c r="E29" t="s">
        <v>41</v>
      </c>
      <c r="F29" t="s">
        <v>2956</v>
      </c>
      <c r="G29" t="s">
        <v>72</v>
      </c>
      <c r="H29" s="4" t="s">
        <v>2609</v>
      </c>
      <c r="I29" t="s">
        <v>2581</v>
      </c>
      <c r="J29" t="s">
        <v>877</v>
      </c>
      <c r="K29" s="6">
        <v>5555201.3200000003</v>
      </c>
      <c r="L29" s="6">
        <f t="shared" si="4"/>
        <v>1388800.33</v>
      </c>
      <c r="M29" s="6">
        <f t="shared" si="0"/>
        <v>0</v>
      </c>
      <c r="N29" s="6">
        <v>6944001.6500000004</v>
      </c>
      <c r="O29" s="184" t="s">
        <v>2955</v>
      </c>
      <c r="P29" s="176" t="s">
        <v>2954</v>
      </c>
      <c r="Q29" t="s">
        <v>2953</v>
      </c>
      <c r="R29" t="s">
        <v>2952</v>
      </c>
      <c r="S29" s="178">
        <v>42485</v>
      </c>
      <c r="U29" t="s">
        <v>1775</v>
      </c>
      <c r="V29" s="178" t="s">
        <v>2604</v>
      </c>
      <c r="W29" s="178">
        <v>42611</v>
      </c>
      <c r="X29" s="6">
        <v>6880000</v>
      </c>
      <c r="Y29" s="6">
        <f t="shared" si="1"/>
        <v>-1324798.6799999997</v>
      </c>
    </row>
    <row r="30" spans="1:26" x14ac:dyDescent="0.25">
      <c r="A30" s="176" t="s">
        <v>2934</v>
      </c>
      <c r="B30" t="s">
        <v>18</v>
      </c>
      <c r="C30" t="s">
        <v>239</v>
      </c>
      <c r="D30" t="s">
        <v>239</v>
      </c>
      <c r="E30" t="s">
        <v>41</v>
      </c>
      <c r="F30" t="s">
        <v>2940</v>
      </c>
      <c r="G30" t="s">
        <v>177</v>
      </c>
      <c r="H30" s="4" t="s">
        <v>178</v>
      </c>
      <c r="I30" t="s">
        <v>2581</v>
      </c>
      <c r="J30" t="s">
        <v>877</v>
      </c>
      <c r="K30" s="6">
        <v>1192000</v>
      </c>
      <c r="L30" s="6">
        <f t="shared" si="4"/>
        <v>298000</v>
      </c>
      <c r="M30" s="6">
        <f t="shared" si="0"/>
        <v>0</v>
      </c>
      <c r="N30" s="6">
        <v>1490000</v>
      </c>
      <c r="O30" s="184" t="s">
        <v>2939</v>
      </c>
      <c r="P30" s="176" t="s">
        <v>2938</v>
      </c>
      <c r="Q30" t="s">
        <v>2937</v>
      </c>
      <c r="R30" t="s">
        <v>2936</v>
      </c>
      <c r="S30" s="178">
        <v>42485</v>
      </c>
      <c r="U30" t="s">
        <v>1775</v>
      </c>
      <c r="V30" s="178" t="s">
        <v>2604</v>
      </c>
      <c r="W30" s="178">
        <v>42615</v>
      </c>
      <c r="X30" s="6">
        <v>1192000</v>
      </c>
      <c r="Y30" s="6">
        <f t="shared" si="1"/>
        <v>0</v>
      </c>
    </row>
    <row r="31" spans="1:26" x14ac:dyDescent="0.25">
      <c r="A31" s="176" t="s">
        <v>2934</v>
      </c>
      <c r="B31" t="s">
        <v>18</v>
      </c>
      <c r="C31" t="s">
        <v>239</v>
      </c>
      <c r="D31" t="s">
        <v>239</v>
      </c>
      <c r="E31" t="s">
        <v>41</v>
      </c>
      <c r="F31" t="s">
        <v>2940</v>
      </c>
      <c r="G31" t="s">
        <v>72</v>
      </c>
      <c r="H31" s="4" t="s">
        <v>2609</v>
      </c>
      <c r="I31" t="s">
        <v>2581</v>
      </c>
      <c r="J31" t="s">
        <v>877</v>
      </c>
      <c r="K31" s="6">
        <v>6271755.4800000004</v>
      </c>
      <c r="L31" s="6">
        <f t="shared" si="4"/>
        <v>1567938.87</v>
      </c>
      <c r="M31" s="6">
        <f t="shared" si="0"/>
        <v>0</v>
      </c>
      <c r="N31" s="6">
        <v>7839694.3499999996</v>
      </c>
      <c r="O31" s="184" t="s">
        <v>2939</v>
      </c>
      <c r="P31" s="176" t="s">
        <v>2938</v>
      </c>
      <c r="Q31" t="s">
        <v>2937</v>
      </c>
      <c r="R31" t="s">
        <v>2936</v>
      </c>
      <c r="S31" s="178">
        <v>42485</v>
      </c>
      <c r="U31" t="s">
        <v>1775</v>
      </c>
      <c r="V31" s="178" t="s">
        <v>2604</v>
      </c>
      <c r="W31" s="178">
        <v>42615</v>
      </c>
      <c r="X31" s="6">
        <v>8080000</v>
      </c>
      <c r="Y31" s="6">
        <f t="shared" si="1"/>
        <v>-1808244.5199999996</v>
      </c>
    </row>
    <row r="32" spans="1:26" x14ac:dyDescent="0.25">
      <c r="A32" s="176" t="s">
        <v>2934</v>
      </c>
      <c r="B32" t="s">
        <v>18</v>
      </c>
      <c r="C32" t="s">
        <v>239</v>
      </c>
      <c r="D32" t="s">
        <v>239</v>
      </c>
      <c r="E32" t="s">
        <v>41</v>
      </c>
      <c r="F32" t="s">
        <v>2933</v>
      </c>
      <c r="G32" t="s">
        <v>177</v>
      </c>
      <c r="H32" s="4" t="s">
        <v>178</v>
      </c>
      <c r="I32" t="s">
        <v>2581</v>
      </c>
      <c r="J32" t="s">
        <v>877</v>
      </c>
      <c r="K32" s="6">
        <v>832000</v>
      </c>
      <c r="L32" s="6">
        <f t="shared" si="4"/>
        <v>208000</v>
      </c>
      <c r="M32" s="6">
        <f t="shared" si="0"/>
        <v>0</v>
      </c>
      <c r="N32" s="6">
        <v>1040000</v>
      </c>
      <c r="O32" s="184" t="s">
        <v>2932</v>
      </c>
      <c r="P32" s="176" t="s">
        <v>2931</v>
      </c>
      <c r="Q32" t="s">
        <v>2935</v>
      </c>
      <c r="R32" t="s">
        <v>2929</v>
      </c>
      <c r="S32" s="178">
        <v>42485</v>
      </c>
      <c r="U32" t="s">
        <v>1775</v>
      </c>
      <c r="V32" s="178" t="s">
        <v>2604</v>
      </c>
      <c r="W32" s="178">
        <v>42615</v>
      </c>
      <c r="X32" s="6">
        <v>832000</v>
      </c>
      <c r="Y32" s="6">
        <f t="shared" si="1"/>
        <v>0</v>
      </c>
    </row>
    <row r="33" spans="1:26" x14ac:dyDescent="0.25">
      <c r="A33" s="176" t="s">
        <v>2934</v>
      </c>
      <c r="B33" t="s">
        <v>18</v>
      </c>
      <c r="C33" t="s">
        <v>239</v>
      </c>
      <c r="D33" t="s">
        <v>239</v>
      </c>
      <c r="E33" t="s">
        <v>41</v>
      </c>
      <c r="F33" t="s">
        <v>2933</v>
      </c>
      <c r="G33" t="s">
        <v>72</v>
      </c>
      <c r="H33" s="4" t="s">
        <v>2609</v>
      </c>
      <c r="I33" t="s">
        <v>2581</v>
      </c>
      <c r="J33" t="s">
        <v>877</v>
      </c>
      <c r="K33" s="6">
        <v>4796906.76</v>
      </c>
      <c r="L33" s="6">
        <f t="shared" si="4"/>
        <v>1199226.6900000002</v>
      </c>
      <c r="M33" s="6">
        <f t="shared" si="0"/>
        <v>0</v>
      </c>
      <c r="N33" s="6">
        <v>5996133.4500000002</v>
      </c>
      <c r="O33" s="184" t="s">
        <v>2932</v>
      </c>
      <c r="P33" s="176" t="s">
        <v>2931</v>
      </c>
      <c r="Q33" t="s">
        <v>2930</v>
      </c>
      <c r="R33" t="s">
        <v>2929</v>
      </c>
      <c r="S33" s="178">
        <v>42485</v>
      </c>
      <c r="U33" t="s">
        <v>1775</v>
      </c>
      <c r="V33" s="178" t="s">
        <v>2604</v>
      </c>
      <c r="W33" s="178">
        <v>42615</v>
      </c>
      <c r="X33" s="6">
        <v>5840000</v>
      </c>
      <c r="Y33" s="6">
        <f t="shared" si="1"/>
        <v>-1043093.2400000002</v>
      </c>
    </row>
    <row r="34" spans="1:26" ht="30" x14ac:dyDescent="0.25">
      <c r="A34" s="176" t="s">
        <v>1829</v>
      </c>
      <c r="B34" t="s">
        <v>18</v>
      </c>
      <c r="C34" t="s">
        <v>239</v>
      </c>
      <c r="D34" s="4" t="s">
        <v>239</v>
      </c>
      <c r="E34" s="4" t="s">
        <v>41</v>
      </c>
      <c r="F34" s="4" t="s">
        <v>103</v>
      </c>
      <c r="G34" s="4" t="s">
        <v>72</v>
      </c>
      <c r="H34" s="4" t="s">
        <v>2693</v>
      </c>
      <c r="I34" s="4" t="s">
        <v>2284</v>
      </c>
      <c r="J34" s="4" t="s">
        <v>889</v>
      </c>
      <c r="K34" s="6">
        <v>1961890</v>
      </c>
      <c r="L34" s="6">
        <f t="shared" si="4"/>
        <v>490472.60000000003</v>
      </c>
      <c r="M34" s="6">
        <f t="shared" ref="M34:M65" si="5">N34-(K34+L34)</f>
        <v>0.39999999990686774</v>
      </c>
      <c r="N34" s="6">
        <v>2452363</v>
      </c>
      <c r="O34" s="184" t="s">
        <v>1832</v>
      </c>
      <c r="P34" s="176" t="s">
        <v>1833</v>
      </c>
      <c r="Q34" t="s">
        <v>2692</v>
      </c>
      <c r="R34" t="s">
        <v>2691</v>
      </c>
      <c r="S34" s="178">
        <v>42634</v>
      </c>
      <c r="U34" t="s">
        <v>1775</v>
      </c>
      <c r="V34" t="s">
        <v>2571</v>
      </c>
      <c r="W34" s="178">
        <v>42634</v>
      </c>
      <c r="X34" s="6">
        <v>1961890</v>
      </c>
      <c r="Y34" s="6">
        <f t="shared" ref="Y34:Y65" si="6">K34-X34</f>
        <v>0</v>
      </c>
    </row>
    <row r="35" spans="1:26" ht="30" x14ac:dyDescent="0.25">
      <c r="A35" s="176" t="s">
        <v>1835</v>
      </c>
      <c r="B35" t="s">
        <v>18</v>
      </c>
      <c r="C35" t="s">
        <v>239</v>
      </c>
      <c r="D35" t="s">
        <v>239</v>
      </c>
      <c r="E35" s="4" t="s">
        <v>3930</v>
      </c>
      <c r="F35" s="4" t="s">
        <v>3929</v>
      </c>
      <c r="G35" t="s">
        <v>177</v>
      </c>
      <c r="H35" s="4" t="s">
        <v>178</v>
      </c>
      <c r="I35" s="4" t="s">
        <v>2284</v>
      </c>
      <c r="J35" s="4" t="s">
        <v>889</v>
      </c>
      <c r="K35" s="6">
        <v>240000</v>
      </c>
      <c r="L35" s="6">
        <f>K35*1.25-K35</f>
        <v>60000</v>
      </c>
      <c r="M35" s="6">
        <f t="shared" si="5"/>
        <v>0</v>
      </c>
      <c r="N35" s="6">
        <v>300000</v>
      </c>
      <c r="O35" s="184" t="s">
        <v>1834</v>
      </c>
      <c r="P35" s="176" t="s">
        <v>1836</v>
      </c>
      <c r="Q35" s="21" t="s">
        <v>3931</v>
      </c>
      <c r="R35" t="s">
        <v>3926</v>
      </c>
      <c r="S35" s="178">
        <v>42502</v>
      </c>
      <c r="U35" t="s">
        <v>1775</v>
      </c>
      <c r="V35" s="178" t="s">
        <v>2571</v>
      </c>
      <c r="W35" s="178">
        <v>42502</v>
      </c>
      <c r="X35" s="6">
        <v>240000</v>
      </c>
      <c r="Y35" s="6">
        <f t="shared" si="6"/>
        <v>0</v>
      </c>
    </row>
    <row r="36" spans="1:26" ht="30" x14ac:dyDescent="0.25">
      <c r="A36" s="176" t="s">
        <v>1835</v>
      </c>
      <c r="B36" t="s">
        <v>18</v>
      </c>
      <c r="C36" t="s">
        <v>239</v>
      </c>
      <c r="D36" t="s">
        <v>239</v>
      </c>
      <c r="E36" s="4" t="s">
        <v>3930</v>
      </c>
      <c r="F36" s="4" t="s">
        <v>3929</v>
      </c>
      <c r="G36" t="s">
        <v>72</v>
      </c>
      <c r="H36" s="4" t="s">
        <v>3928</v>
      </c>
      <c r="I36" s="4" t="s">
        <v>2284</v>
      </c>
      <c r="J36" s="4" t="s">
        <v>889</v>
      </c>
      <c r="K36" s="6">
        <v>3040000</v>
      </c>
      <c r="L36" s="6">
        <f>K36*1.25-K36</f>
        <v>760000</v>
      </c>
      <c r="M36" s="6">
        <f t="shared" si="5"/>
        <v>0</v>
      </c>
      <c r="N36" s="6">
        <v>3800000</v>
      </c>
      <c r="O36" s="184" t="s">
        <v>1834</v>
      </c>
      <c r="P36" s="176" t="s">
        <v>1836</v>
      </c>
      <c r="Q36" s="21" t="s">
        <v>3927</v>
      </c>
      <c r="R36" t="s">
        <v>3926</v>
      </c>
      <c r="S36" s="178">
        <v>42502</v>
      </c>
      <c r="U36" t="s">
        <v>1775</v>
      </c>
      <c r="V36" s="178" t="s">
        <v>2571</v>
      </c>
      <c r="W36" s="178">
        <v>42502</v>
      </c>
      <c r="X36" s="6">
        <v>3040000</v>
      </c>
      <c r="Y36" s="6">
        <f t="shared" si="6"/>
        <v>0</v>
      </c>
    </row>
    <row r="37" spans="1:26" x14ac:dyDescent="0.25">
      <c r="A37" s="176" t="s">
        <v>2584</v>
      </c>
      <c r="B37" t="s">
        <v>18</v>
      </c>
      <c r="C37" t="s">
        <v>239</v>
      </c>
      <c r="D37" s="4" t="s">
        <v>239</v>
      </c>
      <c r="E37" s="4" t="s">
        <v>2583</v>
      </c>
      <c r="F37" s="4" t="s">
        <v>2582</v>
      </c>
      <c r="G37" s="4" t="s">
        <v>177</v>
      </c>
      <c r="H37" s="4" t="s">
        <v>178</v>
      </c>
      <c r="I37" s="4" t="s">
        <v>2581</v>
      </c>
      <c r="J37" s="4" t="s">
        <v>877</v>
      </c>
      <c r="K37" s="6">
        <v>1600000</v>
      </c>
      <c r="L37" s="6">
        <f>N37*0.2</f>
        <v>400000</v>
      </c>
      <c r="M37" s="6">
        <f t="shared" si="5"/>
        <v>0</v>
      </c>
      <c r="N37" s="6">
        <v>2000000</v>
      </c>
      <c r="O37" s="184" t="s">
        <v>2580</v>
      </c>
      <c r="P37" s="176" t="s">
        <v>2579</v>
      </c>
      <c r="Q37" t="s">
        <v>2585</v>
      </c>
      <c r="R37" t="s">
        <v>2577</v>
      </c>
      <c r="S37" t="s">
        <v>2572</v>
      </c>
      <c r="U37" t="s">
        <v>1775</v>
      </c>
      <c r="V37" t="s">
        <v>2571</v>
      </c>
      <c r="X37" s="6">
        <v>1600000</v>
      </c>
      <c r="Y37" s="6">
        <f t="shared" si="6"/>
        <v>0</v>
      </c>
    </row>
    <row r="38" spans="1:26" x14ac:dyDescent="0.25">
      <c r="A38" s="176" t="s">
        <v>2584</v>
      </c>
      <c r="B38" t="s">
        <v>18</v>
      </c>
      <c r="C38" t="s">
        <v>239</v>
      </c>
      <c r="D38" s="4" t="s">
        <v>239</v>
      </c>
      <c r="E38" s="4" t="s">
        <v>2583</v>
      </c>
      <c r="F38" s="4" t="s">
        <v>2582</v>
      </c>
      <c r="G38" s="4" t="s">
        <v>72</v>
      </c>
      <c r="H38" s="4" t="s">
        <v>1195</v>
      </c>
      <c r="I38" s="4" t="s">
        <v>2581</v>
      </c>
      <c r="J38" s="4" t="s">
        <v>877</v>
      </c>
      <c r="K38" s="6">
        <f>12548965.32-K37</f>
        <v>10948965.32</v>
      </c>
      <c r="L38" s="6">
        <f>N38*0.2</f>
        <v>2737241.33</v>
      </c>
      <c r="M38" s="6">
        <f t="shared" si="5"/>
        <v>0</v>
      </c>
      <c r="N38" s="6">
        <v>13686206.65</v>
      </c>
      <c r="O38" s="184" t="s">
        <v>2580</v>
      </c>
      <c r="P38" s="176" t="s">
        <v>2579</v>
      </c>
      <c r="Q38" t="s">
        <v>2578</v>
      </c>
      <c r="R38" t="s">
        <v>2577</v>
      </c>
      <c r="S38" t="s">
        <v>2572</v>
      </c>
      <c r="U38" t="s">
        <v>1775</v>
      </c>
      <c r="V38" t="s">
        <v>2571</v>
      </c>
      <c r="X38" s="6">
        <v>10948965</v>
      </c>
      <c r="Y38" s="6">
        <f t="shared" si="6"/>
        <v>0.32000000029802322</v>
      </c>
    </row>
    <row r="39" spans="1:26" x14ac:dyDescent="0.25">
      <c r="A39" s="176" t="s">
        <v>3839</v>
      </c>
      <c r="B39" t="s">
        <v>18</v>
      </c>
      <c r="C39" s="61" t="s">
        <v>239</v>
      </c>
      <c r="D39" s="61" t="s">
        <v>239</v>
      </c>
      <c r="E39" s="61" t="s">
        <v>41</v>
      </c>
      <c r="F39" s="15" t="s">
        <v>3838</v>
      </c>
      <c r="G39" s="61" t="s">
        <v>177</v>
      </c>
      <c r="H39" s="4" t="s">
        <v>178</v>
      </c>
      <c r="I39" s="4" t="s">
        <v>2581</v>
      </c>
      <c r="J39" s="4" t="s">
        <v>877</v>
      </c>
      <c r="K39" s="6">
        <v>120000</v>
      </c>
      <c r="L39" s="6">
        <f>K39*1.25-K39</f>
        <v>30000</v>
      </c>
      <c r="M39" s="6">
        <f t="shared" si="5"/>
        <v>0</v>
      </c>
      <c r="N39" s="6">
        <v>150000</v>
      </c>
      <c r="O39" s="184" t="s">
        <v>3844</v>
      </c>
      <c r="P39" s="176" t="s">
        <v>3843</v>
      </c>
      <c r="Q39" s="21" t="s">
        <v>3845</v>
      </c>
      <c r="R39" t="s">
        <v>3841</v>
      </c>
      <c r="S39" s="178">
        <v>42514</v>
      </c>
      <c r="U39" t="s">
        <v>1775</v>
      </c>
      <c r="V39" s="178" t="s">
        <v>2571</v>
      </c>
      <c r="W39" s="178">
        <v>42514</v>
      </c>
      <c r="X39" s="6">
        <v>120000</v>
      </c>
      <c r="Y39" s="6">
        <f t="shared" si="6"/>
        <v>0</v>
      </c>
    </row>
    <row r="40" spans="1:26" x14ac:dyDescent="0.25">
      <c r="A40" s="176" t="s">
        <v>3839</v>
      </c>
      <c r="B40" t="s">
        <v>18</v>
      </c>
      <c r="C40" s="61" t="s">
        <v>239</v>
      </c>
      <c r="D40" s="61" t="s">
        <v>239</v>
      </c>
      <c r="E40" s="61" t="s">
        <v>41</v>
      </c>
      <c r="F40" s="15" t="s">
        <v>3838</v>
      </c>
      <c r="G40" s="61" t="s">
        <v>72</v>
      </c>
      <c r="H40" s="4" t="s">
        <v>3837</v>
      </c>
      <c r="I40" s="4" t="s">
        <v>2581</v>
      </c>
      <c r="J40" s="4" t="s">
        <v>877</v>
      </c>
      <c r="K40" s="6">
        <f>1064000+16000</f>
        <v>1080000</v>
      </c>
      <c r="L40" s="6">
        <f>K40*1.25-K40</f>
        <v>270000</v>
      </c>
      <c r="M40" s="6">
        <f t="shared" si="5"/>
        <v>0</v>
      </c>
      <c r="N40" s="6">
        <f>1350000</f>
        <v>1350000</v>
      </c>
      <c r="O40" s="184" t="s">
        <v>3844</v>
      </c>
      <c r="P40" s="176" t="s">
        <v>3843</v>
      </c>
      <c r="Q40" s="21" t="s">
        <v>3842</v>
      </c>
      <c r="R40" t="s">
        <v>3841</v>
      </c>
      <c r="S40" s="178">
        <v>42514</v>
      </c>
      <c r="U40" t="s">
        <v>1775</v>
      </c>
      <c r="V40" s="178" t="s">
        <v>2571</v>
      </c>
      <c r="W40" s="178">
        <v>42514</v>
      </c>
      <c r="X40" s="6">
        <v>1080000</v>
      </c>
      <c r="Y40" s="6">
        <f t="shared" si="6"/>
        <v>0</v>
      </c>
    </row>
    <row r="41" spans="1:26" x14ac:dyDescent="0.25">
      <c r="A41" s="176" t="s">
        <v>3839</v>
      </c>
      <c r="B41" t="s">
        <v>18</v>
      </c>
      <c r="C41" s="61" t="s">
        <v>239</v>
      </c>
      <c r="D41" s="61" t="s">
        <v>239</v>
      </c>
      <c r="E41" s="61" t="s">
        <v>41</v>
      </c>
      <c r="F41" s="15" t="s">
        <v>3838</v>
      </c>
      <c r="G41" s="61" t="s">
        <v>177</v>
      </c>
      <c r="H41" s="4" t="s">
        <v>178</v>
      </c>
      <c r="I41" s="4" t="s">
        <v>2581</v>
      </c>
      <c r="J41" s="4" t="s">
        <v>877</v>
      </c>
      <c r="K41" s="6">
        <v>120000</v>
      </c>
      <c r="L41" s="6">
        <f>K41*1.25-K41</f>
        <v>30000</v>
      </c>
      <c r="M41" s="6">
        <f t="shared" si="5"/>
        <v>0</v>
      </c>
      <c r="N41" s="6">
        <v>150000</v>
      </c>
      <c r="O41" s="184" t="s">
        <v>3836</v>
      </c>
      <c r="P41" s="176" t="s">
        <v>3835</v>
      </c>
      <c r="Q41" s="21" t="s">
        <v>3840</v>
      </c>
      <c r="R41" t="s">
        <v>3833</v>
      </c>
      <c r="S41" s="178">
        <v>42514</v>
      </c>
      <c r="U41" t="s">
        <v>1775</v>
      </c>
      <c r="V41" s="178" t="s">
        <v>2571</v>
      </c>
      <c r="W41" s="178">
        <v>42514</v>
      </c>
      <c r="X41" s="6">
        <v>120000</v>
      </c>
      <c r="Y41" s="6">
        <f t="shared" si="6"/>
        <v>0</v>
      </c>
    </row>
    <row r="42" spans="1:26" x14ac:dyDescent="0.25">
      <c r="A42" s="176" t="s">
        <v>3839</v>
      </c>
      <c r="B42" t="s">
        <v>18</v>
      </c>
      <c r="C42" s="61" t="s">
        <v>239</v>
      </c>
      <c r="D42" s="61" t="s">
        <v>239</v>
      </c>
      <c r="E42" s="61" t="s">
        <v>41</v>
      </c>
      <c r="F42" s="15" t="s">
        <v>3838</v>
      </c>
      <c r="G42" s="61" t="s">
        <v>72</v>
      </c>
      <c r="H42" s="4" t="s">
        <v>3837</v>
      </c>
      <c r="I42" s="4" t="s">
        <v>2581</v>
      </c>
      <c r="J42" s="4" t="s">
        <v>877</v>
      </c>
      <c r="K42" s="6">
        <v>1080000</v>
      </c>
      <c r="L42" s="6">
        <f>K42*1.25-K42</f>
        <v>270000</v>
      </c>
      <c r="M42" s="6">
        <f t="shared" si="5"/>
        <v>0</v>
      </c>
      <c r="N42" s="6">
        <v>1350000</v>
      </c>
      <c r="O42" s="184" t="s">
        <v>3836</v>
      </c>
      <c r="P42" s="176" t="s">
        <v>3835</v>
      </c>
      <c r="Q42" s="21" t="s">
        <v>3834</v>
      </c>
      <c r="R42" t="s">
        <v>3833</v>
      </c>
      <c r="S42" s="178">
        <v>42514</v>
      </c>
      <c r="U42" t="s">
        <v>1775</v>
      </c>
      <c r="V42" s="178" t="s">
        <v>2571</v>
      </c>
      <c r="W42" s="178">
        <v>42514</v>
      </c>
      <c r="X42" s="6">
        <v>1080000</v>
      </c>
      <c r="Y42" s="6">
        <f t="shared" si="6"/>
        <v>0</v>
      </c>
    </row>
    <row r="43" spans="1:26" x14ac:dyDescent="0.25">
      <c r="A43" s="176" t="s">
        <v>726</v>
      </c>
      <c r="B43" t="s">
        <v>18</v>
      </c>
      <c r="C43" t="s">
        <v>239</v>
      </c>
      <c r="D43" t="s">
        <v>239</v>
      </c>
      <c r="E43" s="4" t="s">
        <v>41</v>
      </c>
      <c r="F43" s="4" t="s">
        <v>103</v>
      </c>
      <c r="G43" t="s">
        <v>177</v>
      </c>
      <c r="H43" s="4" t="s">
        <v>178</v>
      </c>
      <c r="I43" t="s">
        <v>2581</v>
      </c>
      <c r="J43" t="s">
        <v>877</v>
      </c>
      <c r="K43" s="6">
        <v>821250</v>
      </c>
      <c r="L43" s="6">
        <f>N43*0.2</f>
        <v>328500</v>
      </c>
      <c r="M43" s="6">
        <f t="shared" si="5"/>
        <v>492750</v>
      </c>
      <c r="N43" s="6">
        <v>1642500</v>
      </c>
      <c r="O43" s="184" t="s">
        <v>3582</v>
      </c>
      <c r="P43" s="176" t="s">
        <v>3581</v>
      </c>
      <c r="Q43" t="s">
        <v>3584</v>
      </c>
      <c r="R43" t="s">
        <v>3579</v>
      </c>
      <c r="S43" s="178">
        <v>42430</v>
      </c>
      <c r="U43" t="s">
        <v>1775</v>
      </c>
      <c r="V43" s="178" t="s">
        <v>2604</v>
      </c>
      <c r="W43" s="178">
        <v>42545</v>
      </c>
      <c r="X43" s="6">
        <v>821250</v>
      </c>
      <c r="Y43" s="6">
        <f t="shared" si="6"/>
        <v>0</v>
      </c>
      <c r="Z43" t="s">
        <v>3578</v>
      </c>
    </row>
    <row r="44" spans="1:26" ht="30" x14ac:dyDescent="0.25">
      <c r="A44" s="176" t="s">
        <v>726</v>
      </c>
      <c r="B44" t="s">
        <v>18</v>
      </c>
      <c r="C44" t="s">
        <v>239</v>
      </c>
      <c r="D44" t="s">
        <v>239</v>
      </c>
      <c r="E44" s="4" t="s">
        <v>41</v>
      </c>
      <c r="F44" s="4" t="s">
        <v>103</v>
      </c>
      <c r="G44" t="s">
        <v>72</v>
      </c>
      <c r="H44" s="4" t="s">
        <v>3583</v>
      </c>
      <c r="I44" t="s">
        <v>2581</v>
      </c>
      <c r="J44" t="s">
        <v>877</v>
      </c>
      <c r="K44" s="6">
        <f>4601961-K43</f>
        <v>3780711</v>
      </c>
      <c r="L44" s="6">
        <f>N44*0.2</f>
        <v>1512284.4000000001</v>
      </c>
      <c r="M44" s="6">
        <f t="shared" si="5"/>
        <v>2268426.5999999996</v>
      </c>
      <c r="N44" s="6">
        <f>9203922-N43</f>
        <v>7561422</v>
      </c>
      <c r="O44" s="184" t="s">
        <v>3582</v>
      </c>
      <c r="P44" s="176" t="s">
        <v>3581</v>
      </c>
      <c r="Q44" t="s">
        <v>3580</v>
      </c>
      <c r="R44" t="s">
        <v>3579</v>
      </c>
      <c r="S44" s="178">
        <v>42430</v>
      </c>
      <c r="T44" s="178">
        <v>42482</v>
      </c>
      <c r="U44" t="s">
        <v>1775</v>
      </c>
      <c r="V44" s="178" t="s">
        <v>2604</v>
      </c>
      <c r="W44" s="178">
        <v>42545</v>
      </c>
      <c r="X44" s="6">
        <v>4703750</v>
      </c>
      <c r="Y44" s="6">
        <f t="shared" si="6"/>
        <v>-923039</v>
      </c>
      <c r="Z44" t="s">
        <v>3578</v>
      </c>
    </row>
    <row r="45" spans="1:26" x14ac:dyDescent="0.25">
      <c r="A45" s="176" t="s">
        <v>3684</v>
      </c>
      <c r="B45" t="s">
        <v>18</v>
      </c>
      <c r="C45" s="61" t="s">
        <v>239</v>
      </c>
      <c r="D45" s="61" t="s">
        <v>239</v>
      </c>
      <c r="E45" s="15" t="s">
        <v>2175</v>
      </c>
      <c r="F45" s="15" t="s">
        <v>3683</v>
      </c>
      <c r="G45" s="61" t="s">
        <v>177</v>
      </c>
      <c r="H45" s="4" t="s">
        <v>178</v>
      </c>
      <c r="I45" s="4" t="s">
        <v>2581</v>
      </c>
      <c r="J45" s="4" t="s">
        <v>877</v>
      </c>
      <c r="K45" s="6">
        <v>1320000</v>
      </c>
      <c r="L45" s="6">
        <f>K45*1.25-K45</f>
        <v>330000</v>
      </c>
      <c r="M45" s="6">
        <f t="shared" si="5"/>
        <v>0</v>
      </c>
      <c r="N45" s="6">
        <v>1650000</v>
      </c>
      <c r="O45" s="184" t="s">
        <v>3681</v>
      </c>
      <c r="P45" s="176" t="s">
        <v>3680</v>
      </c>
      <c r="Q45" s="21" t="s">
        <v>3685</v>
      </c>
      <c r="R45" t="s">
        <v>3678</v>
      </c>
      <c r="S45" s="178">
        <v>42538</v>
      </c>
      <c r="U45" s="186" t="s">
        <v>1775</v>
      </c>
      <c r="V45" s="178" t="s">
        <v>2571</v>
      </c>
      <c r="W45" s="178">
        <v>42538</v>
      </c>
      <c r="X45" s="6">
        <v>1320000</v>
      </c>
      <c r="Y45" s="6">
        <f t="shared" si="6"/>
        <v>0</v>
      </c>
    </row>
    <row r="46" spans="1:26" ht="30" x14ac:dyDescent="0.25">
      <c r="A46" s="176" t="s">
        <v>3684</v>
      </c>
      <c r="B46" t="s">
        <v>18</v>
      </c>
      <c r="C46" s="61" t="s">
        <v>239</v>
      </c>
      <c r="D46" s="61" t="s">
        <v>239</v>
      </c>
      <c r="E46" s="15" t="s">
        <v>2175</v>
      </c>
      <c r="F46" s="15" t="s">
        <v>3683</v>
      </c>
      <c r="G46" s="61" t="s">
        <v>72</v>
      </c>
      <c r="H46" s="4" t="s">
        <v>3682</v>
      </c>
      <c r="I46" s="4" t="s">
        <v>2581</v>
      </c>
      <c r="J46" s="4" t="s">
        <v>877</v>
      </c>
      <c r="K46" s="6">
        <f>11124000+356000</f>
        <v>11480000</v>
      </c>
      <c r="L46" s="6">
        <f>K46*1.25-K46</f>
        <v>2870000</v>
      </c>
      <c r="M46" s="6">
        <f t="shared" si="5"/>
        <v>0</v>
      </c>
      <c r="N46" s="6">
        <f>13905000+445000</f>
        <v>14350000</v>
      </c>
      <c r="O46" s="184" t="s">
        <v>3681</v>
      </c>
      <c r="P46" s="176" t="s">
        <v>3680</v>
      </c>
      <c r="Q46" s="21" t="s">
        <v>3679</v>
      </c>
      <c r="R46" t="s">
        <v>3678</v>
      </c>
      <c r="S46" s="178">
        <v>42538</v>
      </c>
      <c r="U46" s="186" t="s">
        <v>1775</v>
      </c>
      <c r="V46" s="178" t="s">
        <v>2571</v>
      </c>
      <c r="W46" s="178">
        <v>42538</v>
      </c>
      <c r="X46" s="6">
        <v>11480000</v>
      </c>
      <c r="Y46" s="6">
        <f t="shared" si="6"/>
        <v>0</v>
      </c>
    </row>
    <row r="47" spans="1:26" x14ac:dyDescent="0.25">
      <c r="A47" s="176" t="s">
        <v>2773</v>
      </c>
      <c r="B47" t="s">
        <v>18</v>
      </c>
      <c r="C47" t="s">
        <v>239</v>
      </c>
      <c r="D47" s="4" t="s">
        <v>239</v>
      </c>
      <c r="E47" s="4" t="s">
        <v>2772</v>
      </c>
      <c r="F47" s="4" t="s">
        <v>2771</v>
      </c>
      <c r="G47" s="4" t="s">
        <v>212</v>
      </c>
      <c r="H47" s="4" t="s">
        <v>213</v>
      </c>
      <c r="I47" s="4" t="s">
        <v>2581</v>
      </c>
      <c r="J47" s="4" t="s">
        <v>877</v>
      </c>
      <c r="K47" s="6">
        <v>1160000</v>
      </c>
      <c r="L47" s="6">
        <f>N47*0.2</f>
        <v>309420.728</v>
      </c>
      <c r="M47" s="6">
        <f t="shared" si="5"/>
        <v>77682.911999999778</v>
      </c>
      <c r="N47" s="6">
        <v>1547103.64</v>
      </c>
      <c r="O47" s="184" t="s">
        <v>2770</v>
      </c>
      <c r="P47" s="176" t="s">
        <v>2769</v>
      </c>
      <c r="Q47" t="s">
        <v>2768</v>
      </c>
      <c r="R47" t="s">
        <v>2767</v>
      </c>
      <c r="S47" s="178">
        <v>42635</v>
      </c>
      <c r="U47" t="s">
        <v>1775</v>
      </c>
      <c r="V47" t="s">
        <v>2571</v>
      </c>
      <c r="W47" s="178">
        <v>42628</v>
      </c>
      <c r="X47" s="6">
        <v>1160000</v>
      </c>
      <c r="Y47" s="6">
        <f t="shared" si="6"/>
        <v>0</v>
      </c>
    </row>
    <row r="48" spans="1:26" x14ac:dyDescent="0.25">
      <c r="A48" s="176" t="s">
        <v>1863</v>
      </c>
      <c r="B48" t="s">
        <v>18</v>
      </c>
      <c r="C48" t="s">
        <v>2794</v>
      </c>
      <c r="D48" t="s">
        <v>958</v>
      </c>
      <c r="E48" t="s">
        <v>3462</v>
      </c>
      <c r="F48" s="4" t="s">
        <v>3461</v>
      </c>
      <c r="G48" t="s">
        <v>72</v>
      </c>
      <c r="H48" s="4" t="s">
        <v>75</v>
      </c>
      <c r="I48" t="s">
        <v>2581</v>
      </c>
      <c r="J48" s="4" t="s">
        <v>868</v>
      </c>
      <c r="K48" s="6">
        <v>1913943</v>
      </c>
      <c r="L48" s="6">
        <f>N48*0.3</f>
        <v>1357560.9</v>
      </c>
      <c r="M48" s="6">
        <f t="shared" si="5"/>
        <v>1253699.1000000001</v>
      </c>
      <c r="N48" s="6">
        <v>4525203</v>
      </c>
      <c r="O48" s="184" t="s">
        <v>1862</v>
      </c>
      <c r="P48" s="176" t="s">
        <v>1864</v>
      </c>
      <c r="Q48" t="s">
        <v>3465</v>
      </c>
      <c r="R48" t="s">
        <v>3459</v>
      </c>
      <c r="S48" s="178">
        <v>42395</v>
      </c>
      <c r="T48" s="178">
        <v>42433</v>
      </c>
      <c r="U48" t="s">
        <v>2301</v>
      </c>
      <c r="V48" s="178" t="s">
        <v>2604</v>
      </c>
      <c r="W48" s="178">
        <v>42565</v>
      </c>
      <c r="X48" s="6">
        <v>1913943</v>
      </c>
      <c r="Y48" s="6">
        <f t="shared" si="6"/>
        <v>0</v>
      </c>
      <c r="Z48" t="s">
        <v>3464</v>
      </c>
    </row>
    <row r="49" spans="1:25" x14ac:dyDescent="0.25">
      <c r="A49" s="176" t="s">
        <v>1863</v>
      </c>
      <c r="B49" t="s">
        <v>18</v>
      </c>
      <c r="C49" t="s">
        <v>2794</v>
      </c>
      <c r="D49" t="s">
        <v>958</v>
      </c>
      <c r="E49" t="s">
        <v>3462</v>
      </c>
      <c r="F49" s="4" t="s">
        <v>3461</v>
      </c>
      <c r="G49" t="s">
        <v>72</v>
      </c>
      <c r="H49" s="4" t="s">
        <v>3463</v>
      </c>
      <c r="I49" t="s">
        <v>83</v>
      </c>
      <c r="J49" s="4" t="s">
        <v>18</v>
      </c>
      <c r="K49" s="6">
        <v>0</v>
      </c>
      <c r="L49" s="6">
        <v>0</v>
      </c>
      <c r="M49" s="6">
        <f t="shared" si="5"/>
        <v>3717595</v>
      </c>
      <c r="N49" s="6">
        <f>271026+1498911+397275+1550383</f>
        <v>3717595</v>
      </c>
      <c r="O49" s="184" t="s">
        <v>1862</v>
      </c>
      <c r="P49" s="176" t="s">
        <v>1864</v>
      </c>
      <c r="Q49" t="s">
        <v>3460</v>
      </c>
      <c r="R49" t="s">
        <v>3459</v>
      </c>
      <c r="S49" s="178">
        <v>42395</v>
      </c>
      <c r="T49" s="178">
        <v>42433</v>
      </c>
      <c r="U49" t="s">
        <v>2301</v>
      </c>
      <c r="V49" s="178" t="s">
        <v>2604</v>
      </c>
      <c r="W49" s="178">
        <v>42565</v>
      </c>
      <c r="X49" s="6">
        <v>0</v>
      </c>
      <c r="Y49" s="6">
        <f t="shared" si="6"/>
        <v>0</v>
      </c>
    </row>
    <row r="50" spans="1:25" x14ac:dyDescent="0.25">
      <c r="A50" s="176" t="s">
        <v>1863</v>
      </c>
      <c r="B50" t="s">
        <v>18</v>
      </c>
      <c r="C50" t="s">
        <v>2794</v>
      </c>
      <c r="D50" t="s">
        <v>958</v>
      </c>
      <c r="E50" t="s">
        <v>3462</v>
      </c>
      <c r="F50" s="4" t="s">
        <v>3461</v>
      </c>
      <c r="G50" t="s">
        <v>72</v>
      </c>
      <c r="H50" s="4" t="s">
        <v>75</v>
      </c>
      <c r="I50" t="s">
        <v>2284</v>
      </c>
      <c r="J50" s="4" t="s">
        <v>889</v>
      </c>
      <c r="K50" s="6">
        <v>1920000</v>
      </c>
      <c r="L50" s="6">
        <f>N50*0.2</f>
        <v>586195.6</v>
      </c>
      <c r="M50" s="6">
        <f t="shared" si="5"/>
        <v>424782.39999999991</v>
      </c>
      <c r="N50" s="6">
        <f>1447695+524145+951238+7900</f>
        <v>2930978</v>
      </c>
      <c r="O50" s="184" t="s">
        <v>1862</v>
      </c>
      <c r="P50" s="176" t="s">
        <v>1864</v>
      </c>
      <c r="Q50" t="s">
        <v>3460</v>
      </c>
      <c r="R50" t="s">
        <v>3459</v>
      </c>
      <c r="S50" s="178">
        <v>42395</v>
      </c>
      <c r="T50" s="178">
        <v>42433</v>
      </c>
      <c r="U50" t="s">
        <v>2301</v>
      </c>
      <c r="V50" s="178" t="s">
        <v>2604</v>
      </c>
      <c r="W50" s="178">
        <v>42565</v>
      </c>
      <c r="X50" s="6">
        <v>1920000</v>
      </c>
      <c r="Y50" s="6">
        <f t="shared" si="6"/>
        <v>0</v>
      </c>
    </row>
    <row r="51" spans="1:25" x14ac:dyDescent="0.25">
      <c r="A51" s="176" t="s">
        <v>859</v>
      </c>
      <c r="B51" t="s">
        <v>18</v>
      </c>
      <c r="C51" t="s">
        <v>2794</v>
      </c>
      <c r="D51" t="s">
        <v>972</v>
      </c>
      <c r="E51" t="s">
        <v>3955</v>
      </c>
      <c r="F51" s="4" t="s">
        <v>1188</v>
      </c>
      <c r="G51" t="s">
        <v>177</v>
      </c>
      <c r="H51" s="4" t="s">
        <v>178</v>
      </c>
      <c r="I51" t="s">
        <v>2284</v>
      </c>
      <c r="J51" t="s">
        <v>889</v>
      </c>
      <c r="K51" s="6">
        <v>72000</v>
      </c>
      <c r="L51" s="6">
        <f>N51*0.2</f>
        <v>18000</v>
      </c>
      <c r="M51" s="6">
        <f t="shared" si="5"/>
        <v>0</v>
      </c>
      <c r="N51" s="6">
        <v>90000</v>
      </c>
      <c r="O51" s="184" t="s">
        <v>1876</v>
      </c>
      <c r="P51" s="176" t="s">
        <v>1877</v>
      </c>
      <c r="Q51" t="s">
        <v>3956</v>
      </c>
      <c r="R51" t="s">
        <v>1752</v>
      </c>
      <c r="S51" s="178">
        <v>42494</v>
      </c>
      <c r="T51" s="178"/>
      <c r="U51" t="s">
        <v>1775</v>
      </c>
      <c r="V51" s="178" t="s">
        <v>2571</v>
      </c>
      <c r="W51" s="178">
        <v>42494</v>
      </c>
      <c r="X51" s="6">
        <v>72000</v>
      </c>
      <c r="Y51" s="6">
        <f t="shared" si="6"/>
        <v>0</v>
      </c>
    </row>
    <row r="52" spans="1:25" x14ac:dyDescent="0.25">
      <c r="A52" s="176" t="s">
        <v>859</v>
      </c>
      <c r="B52" t="s">
        <v>18</v>
      </c>
      <c r="C52" t="s">
        <v>2794</v>
      </c>
      <c r="D52" t="s">
        <v>972</v>
      </c>
      <c r="E52" t="s">
        <v>3955</v>
      </c>
      <c r="F52" s="4" t="s">
        <v>1188</v>
      </c>
      <c r="G52" t="s">
        <v>72</v>
      </c>
      <c r="H52" s="4" t="s">
        <v>1901</v>
      </c>
      <c r="I52" t="s">
        <v>2284</v>
      </c>
      <c r="J52" t="s">
        <v>889</v>
      </c>
      <c r="K52" s="6">
        <v>692000</v>
      </c>
      <c r="L52" s="6">
        <f>N52*0.2</f>
        <v>173000</v>
      </c>
      <c r="M52" s="6">
        <f t="shared" si="5"/>
        <v>0</v>
      </c>
      <c r="N52" s="6">
        <v>865000</v>
      </c>
      <c r="O52" s="184" t="s">
        <v>1876</v>
      </c>
      <c r="P52" s="176" t="s">
        <v>1877</v>
      </c>
      <c r="Q52" t="s">
        <v>3954</v>
      </c>
      <c r="R52" t="s">
        <v>1752</v>
      </c>
      <c r="S52" s="178">
        <v>42494</v>
      </c>
      <c r="T52" s="178">
        <v>42531</v>
      </c>
      <c r="U52" t="s">
        <v>1775</v>
      </c>
      <c r="V52" s="178" t="s">
        <v>2571</v>
      </c>
      <c r="W52" s="178">
        <v>42494</v>
      </c>
      <c r="X52" s="6">
        <v>692000</v>
      </c>
      <c r="Y52" s="6">
        <f t="shared" si="6"/>
        <v>0</v>
      </c>
    </row>
    <row r="53" spans="1:25" ht="30" x14ac:dyDescent="0.25">
      <c r="A53" s="176" t="s">
        <v>1881</v>
      </c>
      <c r="B53" t="s">
        <v>18</v>
      </c>
      <c r="C53" t="s">
        <v>2794</v>
      </c>
      <c r="D53" t="s">
        <v>972</v>
      </c>
      <c r="E53" s="4" t="s">
        <v>3935</v>
      </c>
      <c r="F53" t="s">
        <v>3934</v>
      </c>
      <c r="G53" t="s">
        <v>72</v>
      </c>
      <c r="H53" s="4" t="s">
        <v>1901</v>
      </c>
      <c r="I53" t="s">
        <v>2284</v>
      </c>
      <c r="J53" t="s">
        <v>889</v>
      </c>
      <c r="K53" s="6">
        <f>726440+5560</f>
        <v>732000</v>
      </c>
      <c r="L53" s="6">
        <f>N53*0.2</f>
        <v>207981.6</v>
      </c>
      <c r="M53" s="6">
        <f t="shared" si="5"/>
        <v>99926.400000000023</v>
      </c>
      <c r="N53" s="6">
        <f>1032008+7900</f>
        <v>1039908</v>
      </c>
      <c r="O53" s="184" t="s">
        <v>1884</v>
      </c>
      <c r="P53" s="176" t="s">
        <v>1885</v>
      </c>
      <c r="Q53" t="s">
        <v>3936</v>
      </c>
      <c r="R53" t="s">
        <v>3932</v>
      </c>
      <c r="S53" s="178">
        <v>42340</v>
      </c>
      <c r="T53" s="178">
        <v>42384</v>
      </c>
      <c r="U53" t="s">
        <v>1775</v>
      </c>
      <c r="V53" s="178" t="s">
        <v>2604</v>
      </c>
      <c r="W53" s="178">
        <v>42502</v>
      </c>
      <c r="X53" s="6">
        <v>732000</v>
      </c>
      <c r="Y53" s="6">
        <f t="shared" si="6"/>
        <v>0</v>
      </c>
    </row>
    <row r="54" spans="1:25" ht="30" x14ac:dyDescent="0.25">
      <c r="A54" s="176" t="s">
        <v>1881</v>
      </c>
      <c r="B54" t="s">
        <v>18</v>
      </c>
      <c r="C54" t="s">
        <v>2794</v>
      </c>
      <c r="D54" t="s">
        <v>972</v>
      </c>
      <c r="E54" s="4" t="s">
        <v>3935</v>
      </c>
      <c r="F54" t="s">
        <v>3934</v>
      </c>
      <c r="G54" t="s">
        <v>177</v>
      </c>
      <c r="H54" s="4" t="s">
        <v>178</v>
      </c>
      <c r="I54" t="s">
        <v>2284</v>
      </c>
      <c r="J54" t="s">
        <v>889</v>
      </c>
      <c r="K54" s="6">
        <v>76000</v>
      </c>
      <c r="L54" s="6">
        <f>N54*0.2</f>
        <v>19000</v>
      </c>
      <c r="M54" s="6">
        <f t="shared" si="5"/>
        <v>0</v>
      </c>
      <c r="N54" s="6">
        <v>95000</v>
      </c>
      <c r="O54" s="184" t="s">
        <v>1884</v>
      </c>
      <c r="P54" s="176" t="s">
        <v>1885</v>
      </c>
      <c r="Q54" t="s">
        <v>3933</v>
      </c>
      <c r="R54" t="s">
        <v>3932</v>
      </c>
      <c r="S54" s="178">
        <v>42340</v>
      </c>
      <c r="T54" s="178"/>
      <c r="U54" t="s">
        <v>1775</v>
      </c>
      <c r="V54" s="178" t="s">
        <v>2604</v>
      </c>
      <c r="W54" s="178">
        <v>42502</v>
      </c>
      <c r="X54" s="6">
        <v>76000</v>
      </c>
      <c r="Y54" s="6">
        <f t="shared" si="6"/>
        <v>0</v>
      </c>
    </row>
    <row r="55" spans="1:25" x14ac:dyDescent="0.25">
      <c r="A55" s="176" t="s">
        <v>1888</v>
      </c>
      <c r="B55" t="s">
        <v>90</v>
      </c>
      <c r="C55" t="s">
        <v>2794</v>
      </c>
      <c r="D55" t="s">
        <v>328</v>
      </c>
      <c r="E55" t="s">
        <v>329</v>
      </c>
      <c r="F55" t="s">
        <v>3959</v>
      </c>
      <c r="G55" t="s">
        <v>72</v>
      </c>
      <c r="H55" s="4" t="s">
        <v>75</v>
      </c>
      <c r="I55" t="s">
        <v>2284</v>
      </c>
      <c r="J55" t="s">
        <v>889</v>
      </c>
      <c r="K55" s="6">
        <f>1742539-K56</f>
        <v>1515251</v>
      </c>
      <c r="L55" s="6">
        <f>(1347297+538867+2089+2900+7900)*0.2</f>
        <v>379810.60000000003</v>
      </c>
      <c r="M55" s="6">
        <f t="shared" si="5"/>
        <v>3991.3999999999069</v>
      </c>
      <c r="N55" s="6">
        <f>2183476-N56</f>
        <v>1899053</v>
      </c>
      <c r="O55" s="184" t="s">
        <v>1887</v>
      </c>
      <c r="P55" s="176" t="s">
        <v>1889</v>
      </c>
      <c r="Q55" t="s">
        <v>3960</v>
      </c>
      <c r="R55" t="s">
        <v>3957</v>
      </c>
      <c r="S55" s="178">
        <v>42360</v>
      </c>
      <c r="T55" s="178">
        <v>42433</v>
      </c>
      <c r="U55" t="s">
        <v>2301</v>
      </c>
      <c r="V55" s="178" t="s">
        <v>2604</v>
      </c>
      <c r="W55" s="178">
        <v>42494</v>
      </c>
      <c r="X55" s="6">
        <v>960000</v>
      </c>
      <c r="Y55" s="6">
        <f t="shared" si="6"/>
        <v>555251</v>
      </c>
    </row>
    <row r="56" spans="1:25" x14ac:dyDescent="0.25">
      <c r="A56" s="176" t="s">
        <v>1888</v>
      </c>
      <c r="B56" t="s">
        <v>90</v>
      </c>
      <c r="C56" t="s">
        <v>2794</v>
      </c>
      <c r="D56" t="s">
        <v>328</v>
      </c>
      <c r="E56" t="s">
        <v>329</v>
      </c>
      <c r="F56" t="s">
        <v>3959</v>
      </c>
      <c r="G56" t="s">
        <v>177</v>
      </c>
      <c r="H56" s="4" t="s">
        <v>178</v>
      </c>
      <c r="I56" t="s">
        <v>2284</v>
      </c>
      <c r="J56" t="s">
        <v>889</v>
      </c>
      <c r="K56" s="6">
        <v>227288</v>
      </c>
      <c r="L56" s="6">
        <f>N56*0.2</f>
        <v>56884.600000000006</v>
      </c>
      <c r="M56" s="6">
        <f t="shared" si="5"/>
        <v>250.40000000002328</v>
      </c>
      <c r="N56" s="6">
        <f>284110+313</f>
        <v>284423</v>
      </c>
      <c r="O56" s="184" t="s">
        <v>1887</v>
      </c>
      <c r="P56" s="176" t="s">
        <v>1889</v>
      </c>
      <c r="Q56" t="s">
        <v>3958</v>
      </c>
      <c r="R56" t="s">
        <v>3957</v>
      </c>
      <c r="S56" s="178">
        <v>42360</v>
      </c>
      <c r="U56" t="s">
        <v>2301</v>
      </c>
      <c r="V56" s="178" t="s">
        <v>2604</v>
      </c>
      <c r="W56" s="178">
        <v>42494</v>
      </c>
      <c r="X56" s="6">
        <v>112000</v>
      </c>
      <c r="Y56" s="6">
        <f t="shared" si="6"/>
        <v>115288</v>
      </c>
    </row>
    <row r="57" spans="1:25" x14ac:dyDescent="0.25">
      <c r="A57" s="176" t="s">
        <v>1891</v>
      </c>
      <c r="B57" t="s">
        <v>18</v>
      </c>
      <c r="C57" t="s">
        <v>2794</v>
      </c>
      <c r="D57" t="s">
        <v>972</v>
      </c>
      <c r="E57" t="s">
        <v>3907</v>
      </c>
      <c r="F57" s="4" t="s">
        <v>4143</v>
      </c>
      <c r="G57" t="s">
        <v>212</v>
      </c>
      <c r="H57" s="4" t="s">
        <v>213</v>
      </c>
      <c r="I57" t="s">
        <v>2284</v>
      </c>
      <c r="J57" s="4" t="s">
        <v>889</v>
      </c>
      <c r="K57" s="6">
        <v>222758</v>
      </c>
      <c r="L57" s="6">
        <f>N57*0.2</f>
        <v>55689.600000000006</v>
      </c>
      <c r="M57" s="6">
        <f t="shared" si="5"/>
        <v>0.40000000002328306</v>
      </c>
      <c r="N57" s="6">
        <v>278448</v>
      </c>
      <c r="O57" s="184" t="s">
        <v>1894</v>
      </c>
      <c r="P57" s="176" t="s">
        <v>1895</v>
      </c>
      <c r="Q57" t="s">
        <v>4142</v>
      </c>
      <c r="R57" t="s">
        <v>4141</v>
      </c>
      <c r="S57" s="178">
        <v>42444</v>
      </c>
      <c r="U57" t="s">
        <v>1775</v>
      </c>
      <c r="V57" s="178" t="s">
        <v>2571</v>
      </c>
      <c r="W57" s="178">
        <v>42445</v>
      </c>
      <c r="X57" s="6">
        <v>222758</v>
      </c>
      <c r="Y57" s="6">
        <f t="shared" si="6"/>
        <v>0</v>
      </c>
    </row>
    <row r="58" spans="1:25" x14ac:dyDescent="0.25">
      <c r="A58" s="176" t="s">
        <v>1899</v>
      </c>
      <c r="B58" t="s">
        <v>18</v>
      </c>
      <c r="C58" t="s">
        <v>2794</v>
      </c>
      <c r="D58" t="s">
        <v>336</v>
      </c>
      <c r="E58" t="s">
        <v>1902</v>
      </c>
      <c r="F58" t="s">
        <v>3477</v>
      </c>
      <c r="G58" t="s">
        <v>72</v>
      </c>
      <c r="H58" s="4" t="s">
        <v>1901</v>
      </c>
      <c r="I58" t="s">
        <v>2284</v>
      </c>
      <c r="J58" t="s">
        <v>889</v>
      </c>
      <c r="K58" s="6">
        <v>388207</v>
      </c>
      <c r="L58" s="6">
        <f>N58*0.2</f>
        <v>97051.8</v>
      </c>
      <c r="M58" s="6">
        <f t="shared" si="5"/>
        <v>0.20000000001164153</v>
      </c>
      <c r="N58" s="6">
        <v>485259</v>
      </c>
      <c r="O58" s="184" t="s">
        <v>1898</v>
      </c>
      <c r="P58" s="176" t="s">
        <v>1900</v>
      </c>
      <c r="Q58" t="s">
        <v>3476</v>
      </c>
      <c r="R58" t="s">
        <v>3475</v>
      </c>
      <c r="S58" s="178">
        <v>42384</v>
      </c>
      <c r="T58" s="178">
        <v>42433</v>
      </c>
      <c r="U58" t="s">
        <v>2301</v>
      </c>
      <c r="V58" s="178" t="s">
        <v>2604</v>
      </c>
      <c r="W58" s="178">
        <v>42565</v>
      </c>
      <c r="X58" s="6">
        <v>434500</v>
      </c>
      <c r="Y58" s="6">
        <f t="shared" si="6"/>
        <v>-46293</v>
      </c>
    </row>
    <row r="59" spans="1:25" x14ac:dyDescent="0.25">
      <c r="A59" s="176" t="s">
        <v>4430</v>
      </c>
      <c r="B59" t="s">
        <v>18</v>
      </c>
      <c r="C59" t="s">
        <v>2794</v>
      </c>
      <c r="D59" t="s">
        <v>923</v>
      </c>
      <c r="E59" t="s">
        <v>4429</v>
      </c>
      <c r="F59" t="s">
        <v>4428</v>
      </c>
      <c r="G59" t="s">
        <v>212</v>
      </c>
      <c r="H59" s="4" t="s">
        <v>213</v>
      </c>
      <c r="I59" t="s">
        <v>2581</v>
      </c>
      <c r="J59" t="s">
        <v>877</v>
      </c>
      <c r="K59" s="6">
        <v>106195</v>
      </c>
      <c r="L59" s="6">
        <f>N59*0.2</f>
        <v>30341.4</v>
      </c>
      <c r="M59" s="6">
        <f t="shared" si="5"/>
        <v>15170.600000000006</v>
      </c>
      <c r="N59" s="6">
        <v>151707</v>
      </c>
      <c r="O59" s="184" t="s">
        <v>4427</v>
      </c>
      <c r="P59" s="176" t="s">
        <v>4426</v>
      </c>
      <c r="Q59" t="s">
        <v>4425</v>
      </c>
      <c r="R59" t="s">
        <v>4424</v>
      </c>
      <c r="S59" s="178">
        <v>42360</v>
      </c>
      <c r="U59" t="s">
        <v>1775</v>
      </c>
      <c r="V59" s="178" t="s">
        <v>2571</v>
      </c>
      <c r="W59" s="178">
        <v>42360</v>
      </c>
      <c r="X59" s="6">
        <v>106195</v>
      </c>
      <c r="Y59" s="6">
        <f t="shared" si="6"/>
        <v>0</v>
      </c>
    </row>
    <row r="60" spans="1:25" x14ac:dyDescent="0.25">
      <c r="A60" s="176" t="s">
        <v>3442</v>
      </c>
      <c r="B60" t="s">
        <v>18</v>
      </c>
      <c r="C60" t="s">
        <v>2794</v>
      </c>
      <c r="D60" t="s">
        <v>923</v>
      </c>
      <c r="E60" s="4" t="s">
        <v>3441</v>
      </c>
      <c r="F60" s="4" t="s">
        <v>3440</v>
      </c>
      <c r="G60" t="s">
        <v>177</v>
      </c>
      <c r="H60" s="4" t="s">
        <v>178</v>
      </c>
      <c r="I60" t="s">
        <v>2599</v>
      </c>
      <c r="J60" t="s">
        <v>881</v>
      </c>
      <c r="K60" s="6">
        <v>22715</v>
      </c>
      <c r="L60" s="6">
        <v>0</v>
      </c>
      <c r="M60" s="6">
        <f t="shared" si="5"/>
        <v>0</v>
      </c>
      <c r="N60" s="6">
        <v>22715</v>
      </c>
      <c r="O60" s="184" t="s">
        <v>3439</v>
      </c>
      <c r="P60" s="176" t="s">
        <v>3438</v>
      </c>
      <c r="Q60" t="s">
        <v>3443</v>
      </c>
      <c r="R60" t="s">
        <v>3436</v>
      </c>
      <c r="S60" s="178">
        <v>42430</v>
      </c>
      <c r="U60" t="s">
        <v>2301</v>
      </c>
      <c r="V60" s="178" t="s">
        <v>2604</v>
      </c>
      <c r="W60" s="178">
        <v>42565</v>
      </c>
      <c r="X60" s="6">
        <v>22715</v>
      </c>
      <c r="Y60" s="6">
        <f t="shared" si="6"/>
        <v>0</v>
      </c>
    </row>
    <row r="61" spans="1:25" x14ac:dyDescent="0.25">
      <c r="A61" s="176" t="s">
        <v>3442</v>
      </c>
      <c r="B61" t="s">
        <v>18</v>
      </c>
      <c r="C61" t="s">
        <v>2794</v>
      </c>
      <c r="D61" t="s">
        <v>923</v>
      </c>
      <c r="E61" s="4" t="s">
        <v>3441</v>
      </c>
      <c r="F61" s="4" t="s">
        <v>3440</v>
      </c>
      <c r="G61" t="s">
        <v>72</v>
      </c>
      <c r="H61" s="4" t="s">
        <v>3118</v>
      </c>
      <c r="I61" t="s">
        <v>2599</v>
      </c>
      <c r="J61" t="s">
        <v>881</v>
      </c>
      <c r="K61" s="6">
        <v>215778</v>
      </c>
      <c r="L61" s="6">
        <v>0</v>
      </c>
      <c r="M61" s="6">
        <f t="shared" si="5"/>
        <v>2000</v>
      </c>
      <c r="N61" s="6">
        <f>215778+2000</f>
        <v>217778</v>
      </c>
      <c r="O61" s="184" t="s">
        <v>3439</v>
      </c>
      <c r="P61" s="176" t="s">
        <v>3438</v>
      </c>
      <c r="Q61" t="s">
        <v>3437</v>
      </c>
      <c r="R61" t="s">
        <v>3436</v>
      </c>
      <c r="S61" s="178">
        <v>42430</v>
      </c>
      <c r="T61" s="178">
        <v>42482</v>
      </c>
      <c r="U61" t="s">
        <v>2301</v>
      </c>
      <c r="V61" s="178" t="s">
        <v>2604</v>
      </c>
      <c r="W61" s="178">
        <v>42565</v>
      </c>
      <c r="X61" s="6">
        <v>224660</v>
      </c>
      <c r="Y61" s="6">
        <f t="shared" si="6"/>
        <v>-8882</v>
      </c>
    </row>
    <row r="62" spans="1:25" x14ac:dyDescent="0.25">
      <c r="A62" s="176" t="s">
        <v>4163</v>
      </c>
      <c r="B62" t="s">
        <v>18</v>
      </c>
      <c r="C62" t="s">
        <v>2794</v>
      </c>
      <c r="D62" t="s">
        <v>941</v>
      </c>
      <c r="E62" t="s">
        <v>4162</v>
      </c>
      <c r="F62" t="s">
        <v>4161</v>
      </c>
      <c r="G62" t="s">
        <v>212</v>
      </c>
      <c r="H62" s="4" t="s">
        <v>213</v>
      </c>
      <c r="I62" t="s">
        <v>2581</v>
      </c>
      <c r="J62" t="s">
        <v>877</v>
      </c>
      <c r="K62" s="6">
        <v>118278</v>
      </c>
      <c r="L62" s="6">
        <f t="shared" ref="L62:L67" si="7">N62*0.2</f>
        <v>33793.599999999999</v>
      </c>
      <c r="M62" s="6">
        <f t="shared" si="5"/>
        <v>16896.399999999994</v>
      </c>
      <c r="N62" s="6">
        <v>168968</v>
      </c>
      <c r="O62" s="184" t="s">
        <v>4160</v>
      </c>
      <c r="P62" s="176" t="s">
        <v>4159</v>
      </c>
      <c r="Q62" t="s">
        <v>4158</v>
      </c>
      <c r="R62" t="s">
        <v>4157</v>
      </c>
      <c r="S62" s="178">
        <v>42443</v>
      </c>
      <c r="U62" t="s">
        <v>1775</v>
      </c>
      <c r="V62" s="178" t="s">
        <v>2571</v>
      </c>
      <c r="W62" s="178">
        <v>42443</v>
      </c>
      <c r="X62" s="6">
        <v>118278</v>
      </c>
      <c r="Y62" s="6">
        <f t="shared" si="6"/>
        <v>0</v>
      </c>
    </row>
    <row r="63" spans="1:25" x14ac:dyDescent="0.25">
      <c r="A63" s="176" t="s">
        <v>4242</v>
      </c>
      <c r="B63" t="s">
        <v>18</v>
      </c>
      <c r="C63" t="s">
        <v>2794</v>
      </c>
      <c r="D63" t="s">
        <v>4241</v>
      </c>
      <c r="E63" t="s">
        <v>4240</v>
      </c>
      <c r="F63" t="s">
        <v>3461</v>
      </c>
      <c r="G63" t="s">
        <v>72</v>
      </c>
      <c r="H63" s="4" t="s">
        <v>2609</v>
      </c>
      <c r="I63" t="s">
        <v>2581</v>
      </c>
      <c r="J63" t="s">
        <v>877</v>
      </c>
      <c r="K63" s="6">
        <v>488163</v>
      </c>
      <c r="L63" s="6">
        <f t="shared" si="7"/>
        <v>139475.20000000001</v>
      </c>
      <c r="M63" s="6">
        <f t="shared" si="5"/>
        <v>69737.800000000047</v>
      </c>
      <c r="N63" s="6">
        <v>697376</v>
      </c>
      <c r="O63" s="184" t="s">
        <v>4239</v>
      </c>
      <c r="P63" s="176" t="s">
        <v>4238</v>
      </c>
      <c r="Q63" t="s">
        <v>4243</v>
      </c>
      <c r="R63" t="s">
        <v>4236</v>
      </c>
      <c r="S63" s="178">
        <v>42313</v>
      </c>
      <c r="U63" s="186" t="s">
        <v>1775</v>
      </c>
      <c r="V63" s="178" t="s">
        <v>2604</v>
      </c>
      <c r="W63" s="178">
        <v>42432</v>
      </c>
      <c r="X63" s="6">
        <v>595000</v>
      </c>
      <c r="Y63" s="6">
        <f t="shared" si="6"/>
        <v>-106837</v>
      </c>
    </row>
    <row r="64" spans="1:25" x14ac:dyDescent="0.25">
      <c r="A64" s="176" t="s">
        <v>4242</v>
      </c>
      <c r="B64" t="s">
        <v>18</v>
      </c>
      <c r="C64" t="s">
        <v>2794</v>
      </c>
      <c r="D64" t="s">
        <v>4241</v>
      </c>
      <c r="E64" t="s">
        <v>4240</v>
      </c>
      <c r="F64" t="s">
        <v>3461</v>
      </c>
      <c r="G64" t="s">
        <v>177</v>
      </c>
      <c r="H64" s="4" t="s">
        <v>178</v>
      </c>
      <c r="I64" t="s">
        <v>2581</v>
      </c>
      <c r="J64" t="s">
        <v>877</v>
      </c>
      <c r="K64" s="6">
        <v>59500</v>
      </c>
      <c r="L64" s="6">
        <f t="shared" si="7"/>
        <v>17000</v>
      </c>
      <c r="M64" s="6">
        <f t="shared" si="5"/>
        <v>8500</v>
      </c>
      <c r="N64" s="6">
        <v>85000</v>
      </c>
      <c r="O64" s="184" t="s">
        <v>4239</v>
      </c>
      <c r="P64" s="176" t="s">
        <v>4238</v>
      </c>
      <c r="Q64" t="s">
        <v>4237</v>
      </c>
      <c r="R64" t="s">
        <v>4236</v>
      </c>
      <c r="S64" s="178">
        <v>42313</v>
      </c>
      <c r="U64" s="186" t="s">
        <v>1775</v>
      </c>
      <c r="V64" s="178" t="s">
        <v>2604</v>
      </c>
      <c r="W64" s="178">
        <v>42432</v>
      </c>
      <c r="X64" s="6">
        <v>59500</v>
      </c>
      <c r="Y64" s="6">
        <f t="shared" si="6"/>
        <v>0</v>
      </c>
    </row>
    <row r="65" spans="1:26" x14ac:dyDescent="0.25">
      <c r="A65" s="176" t="s">
        <v>4194</v>
      </c>
      <c r="B65" t="s">
        <v>18</v>
      </c>
      <c r="C65" t="s">
        <v>2794</v>
      </c>
      <c r="D65" t="s">
        <v>923</v>
      </c>
      <c r="E65" t="s">
        <v>4193</v>
      </c>
      <c r="F65" t="s">
        <v>1094</v>
      </c>
      <c r="G65" t="s">
        <v>212</v>
      </c>
      <c r="H65" s="4" t="s">
        <v>213</v>
      </c>
      <c r="I65" t="s">
        <v>1277</v>
      </c>
      <c r="J65" t="s">
        <v>877</v>
      </c>
      <c r="K65" s="6">
        <v>100238</v>
      </c>
      <c r="L65" s="6">
        <f t="shared" si="7"/>
        <v>25059.600000000002</v>
      </c>
      <c r="M65" s="6">
        <f t="shared" si="5"/>
        <v>0.39999999999417923</v>
      </c>
      <c r="N65" s="6">
        <v>125298</v>
      </c>
      <c r="O65" s="184" t="s">
        <v>4196</v>
      </c>
      <c r="P65" s="176" t="s">
        <v>4503</v>
      </c>
      <c r="Q65" s="4" t="s">
        <v>4502</v>
      </c>
      <c r="R65" t="s">
        <v>4189</v>
      </c>
      <c r="S65" s="178">
        <v>42335</v>
      </c>
      <c r="U65" t="s">
        <v>1775</v>
      </c>
      <c r="V65" s="178" t="s">
        <v>2571</v>
      </c>
      <c r="W65" s="178">
        <v>42331</v>
      </c>
      <c r="X65" s="6">
        <v>100238</v>
      </c>
      <c r="Y65" s="6">
        <f t="shared" si="6"/>
        <v>0</v>
      </c>
    </row>
    <row r="66" spans="1:26" x14ac:dyDescent="0.25">
      <c r="A66" s="176" t="s">
        <v>4194</v>
      </c>
      <c r="B66" t="s">
        <v>18</v>
      </c>
      <c r="C66" t="s">
        <v>2794</v>
      </c>
      <c r="D66" t="s">
        <v>923</v>
      </c>
      <c r="E66" t="s">
        <v>4193</v>
      </c>
      <c r="F66" t="s">
        <v>1094</v>
      </c>
      <c r="G66" t="s">
        <v>177</v>
      </c>
      <c r="H66" s="4" t="s">
        <v>178</v>
      </c>
      <c r="I66" t="s">
        <v>1277</v>
      </c>
      <c r="J66" t="s">
        <v>877</v>
      </c>
      <c r="K66" s="6">
        <v>128000</v>
      </c>
      <c r="L66" s="6">
        <f t="shared" si="7"/>
        <v>32000</v>
      </c>
      <c r="M66" s="6">
        <f t="shared" ref="M66:M76" si="8">N66-(K66+L66)</f>
        <v>0</v>
      </c>
      <c r="N66" s="6">
        <v>160000</v>
      </c>
      <c r="O66" s="184" t="s">
        <v>4192</v>
      </c>
      <c r="P66" s="176" t="s">
        <v>4191</v>
      </c>
      <c r="Q66" s="4" t="s">
        <v>4195</v>
      </c>
      <c r="R66" t="s">
        <v>4189</v>
      </c>
      <c r="S66" s="178">
        <v>42439</v>
      </c>
      <c r="U66" t="s">
        <v>1775</v>
      </c>
      <c r="V66" s="178" t="s">
        <v>2571</v>
      </c>
      <c r="W66" s="178">
        <v>42439</v>
      </c>
      <c r="X66" s="6">
        <v>128000</v>
      </c>
      <c r="Y66" s="6">
        <f t="shared" ref="Y66:Y76" si="9">K66-X66</f>
        <v>0</v>
      </c>
      <c r="Z66" s="6"/>
    </row>
    <row r="67" spans="1:26" x14ac:dyDescent="0.25">
      <c r="A67" s="176" t="s">
        <v>4194</v>
      </c>
      <c r="B67" t="s">
        <v>18</v>
      </c>
      <c r="C67" t="s">
        <v>2794</v>
      </c>
      <c r="D67" t="s">
        <v>923</v>
      </c>
      <c r="E67" t="s">
        <v>4193</v>
      </c>
      <c r="F67" t="s">
        <v>1094</v>
      </c>
      <c r="G67" t="s">
        <v>72</v>
      </c>
      <c r="H67" s="4" t="s">
        <v>651</v>
      </c>
      <c r="I67" t="s">
        <v>1277</v>
      </c>
      <c r="J67" t="s">
        <v>877</v>
      </c>
      <c r="K67" s="6">
        <v>1176000</v>
      </c>
      <c r="L67" s="6">
        <f t="shared" si="7"/>
        <v>294000</v>
      </c>
      <c r="M67" s="6">
        <f t="shared" si="8"/>
        <v>0</v>
      </c>
      <c r="N67" s="6">
        <v>1470000</v>
      </c>
      <c r="O67" s="184" t="s">
        <v>4192</v>
      </c>
      <c r="P67" s="176" t="s">
        <v>4191</v>
      </c>
      <c r="Q67" s="4" t="s">
        <v>4190</v>
      </c>
      <c r="R67" t="s">
        <v>4189</v>
      </c>
      <c r="S67" s="178">
        <v>42439</v>
      </c>
      <c r="U67" t="s">
        <v>1775</v>
      </c>
      <c r="V67" s="178" t="s">
        <v>2571</v>
      </c>
      <c r="W67" s="178">
        <v>42439</v>
      </c>
      <c r="X67" s="6">
        <v>1176000</v>
      </c>
      <c r="Y67" s="6">
        <f t="shared" si="9"/>
        <v>0</v>
      </c>
    </row>
    <row r="68" spans="1:26" x14ac:dyDescent="0.25">
      <c r="A68" s="176" t="s">
        <v>3158</v>
      </c>
      <c r="B68" t="s">
        <v>18</v>
      </c>
      <c r="C68" s="61" t="s">
        <v>2794</v>
      </c>
      <c r="D68" t="s">
        <v>336</v>
      </c>
      <c r="E68" s="61" t="s">
        <v>3157</v>
      </c>
      <c r="F68" s="61" t="s">
        <v>3156</v>
      </c>
      <c r="G68" s="61" t="s">
        <v>72</v>
      </c>
      <c r="H68" s="4" t="s">
        <v>1901</v>
      </c>
      <c r="I68" s="61" t="s">
        <v>2653</v>
      </c>
      <c r="J68" t="s">
        <v>2652</v>
      </c>
      <c r="K68" s="6">
        <v>622636</v>
      </c>
      <c r="L68" s="6">
        <f>K68*1.25-K68</f>
        <v>155659</v>
      </c>
      <c r="M68" s="6">
        <f t="shared" si="8"/>
        <v>0</v>
      </c>
      <c r="N68" s="6">
        <v>778295</v>
      </c>
      <c r="O68" s="184" t="s">
        <v>3155</v>
      </c>
      <c r="P68" s="176" t="s">
        <v>3154</v>
      </c>
      <c r="Q68" s="61" t="s">
        <v>3153</v>
      </c>
      <c r="R68" s="61" t="s">
        <v>3152</v>
      </c>
      <c r="S68" s="178">
        <v>42586</v>
      </c>
      <c r="U68" s="61" t="s">
        <v>1775</v>
      </c>
      <c r="V68" s="178" t="s">
        <v>2571</v>
      </c>
      <c r="W68" s="178">
        <v>42586</v>
      </c>
      <c r="X68" s="6">
        <v>622636</v>
      </c>
      <c r="Y68" s="6">
        <f t="shared" si="9"/>
        <v>0</v>
      </c>
    </row>
    <row r="69" spans="1:26" x14ac:dyDescent="0.25">
      <c r="A69" s="176" t="s">
        <v>2977</v>
      </c>
      <c r="B69" t="s">
        <v>18</v>
      </c>
      <c r="C69" t="s">
        <v>2794</v>
      </c>
      <c r="D69" t="s">
        <v>972</v>
      </c>
      <c r="E69" t="s">
        <v>2976</v>
      </c>
      <c r="F69" t="s">
        <v>2975</v>
      </c>
      <c r="G69" t="s">
        <v>212</v>
      </c>
      <c r="H69" s="4" t="s">
        <v>213</v>
      </c>
      <c r="I69" t="s">
        <v>2581</v>
      </c>
      <c r="J69" t="s">
        <v>877</v>
      </c>
      <c r="K69" s="6">
        <v>21600</v>
      </c>
      <c r="L69" s="6">
        <f>N69*0.3</f>
        <v>9262.7999999999993</v>
      </c>
      <c r="M69" s="6">
        <f t="shared" si="8"/>
        <v>13.200000000000728</v>
      </c>
      <c r="N69" s="6">
        <v>30876</v>
      </c>
      <c r="O69" s="184" t="s">
        <v>4576</v>
      </c>
      <c r="P69" s="176" t="s">
        <v>4575</v>
      </c>
      <c r="Q69" t="s">
        <v>4574</v>
      </c>
      <c r="R69" t="s">
        <v>2971</v>
      </c>
      <c r="S69" s="178">
        <v>42318</v>
      </c>
      <c r="U69" s="186" t="s">
        <v>1775</v>
      </c>
      <c r="V69" s="178" t="s">
        <v>2571</v>
      </c>
      <c r="W69" s="178">
        <v>42318</v>
      </c>
      <c r="X69" s="6">
        <v>21600</v>
      </c>
      <c r="Y69" s="6">
        <f t="shared" si="9"/>
        <v>0</v>
      </c>
      <c r="Z69" t="s">
        <v>4573</v>
      </c>
    </row>
    <row r="70" spans="1:26" x14ac:dyDescent="0.25">
      <c r="A70" s="188" t="s">
        <v>2977</v>
      </c>
      <c r="B70" t="s">
        <v>18</v>
      </c>
      <c r="C70" s="61" t="s">
        <v>2794</v>
      </c>
      <c r="D70" s="61" t="s">
        <v>972</v>
      </c>
      <c r="E70" s="61" t="s">
        <v>2976</v>
      </c>
      <c r="F70" s="15" t="s">
        <v>2975</v>
      </c>
      <c r="G70" s="61" t="s">
        <v>177</v>
      </c>
      <c r="H70" s="4" t="s">
        <v>178</v>
      </c>
      <c r="I70" t="s">
        <v>2581</v>
      </c>
      <c r="J70" s="4" t="s">
        <v>877</v>
      </c>
      <c r="K70" s="6">
        <v>44000</v>
      </c>
      <c r="L70" s="6">
        <f t="shared" ref="L70:L76" si="10">N70*0.2</f>
        <v>12580</v>
      </c>
      <c r="M70" s="6">
        <f t="shared" si="8"/>
        <v>6320</v>
      </c>
      <c r="N70" s="6">
        <v>62900</v>
      </c>
      <c r="O70" s="184" t="s">
        <v>2974</v>
      </c>
      <c r="P70" s="176" t="s">
        <v>2973</v>
      </c>
      <c r="Q70" s="21" t="s">
        <v>3666</v>
      </c>
      <c r="R70" t="s">
        <v>2971</v>
      </c>
      <c r="S70" s="178">
        <v>42542</v>
      </c>
      <c r="U70" s="186" t="s">
        <v>1775</v>
      </c>
      <c r="V70" s="178" t="s">
        <v>2571</v>
      </c>
      <c r="W70" s="178">
        <v>42542</v>
      </c>
      <c r="X70" s="6">
        <v>44000</v>
      </c>
      <c r="Y70" s="6">
        <f t="shared" si="9"/>
        <v>0</v>
      </c>
      <c r="Z70" s="61"/>
    </row>
    <row r="71" spans="1:26" x14ac:dyDescent="0.25">
      <c r="A71" s="188" t="s">
        <v>2977</v>
      </c>
      <c r="B71" t="s">
        <v>18</v>
      </c>
      <c r="C71" s="61" t="s">
        <v>2794</v>
      </c>
      <c r="D71" s="61" t="s">
        <v>972</v>
      </c>
      <c r="E71" s="61" t="s">
        <v>2976</v>
      </c>
      <c r="F71" s="15" t="s">
        <v>2975</v>
      </c>
      <c r="G71" s="61" t="s">
        <v>72</v>
      </c>
      <c r="H71" s="4" t="s">
        <v>2609</v>
      </c>
      <c r="I71" s="4" t="s">
        <v>2581</v>
      </c>
      <c r="J71" s="4" t="s">
        <v>877</v>
      </c>
      <c r="K71" s="6">
        <v>526926</v>
      </c>
      <c r="L71" s="6">
        <f t="shared" si="10"/>
        <v>150550.39999999999</v>
      </c>
      <c r="M71" s="6">
        <f t="shared" si="8"/>
        <v>75275.599999999977</v>
      </c>
      <c r="N71" s="6">
        <v>752752</v>
      </c>
      <c r="O71" s="184" t="s">
        <v>2974</v>
      </c>
      <c r="P71" s="176" t="s">
        <v>2973</v>
      </c>
      <c r="Q71" s="21" t="s">
        <v>2972</v>
      </c>
      <c r="R71" t="s">
        <v>2971</v>
      </c>
      <c r="S71" s="178">
        <v>42542</v>
      </c>
      <c r="T71" s="178">
        <v>42580</v>
      </c>
      <c r="U71" s="186" t="s">
        <v>1775</v>
      </c>
      <c r="V71" s="178" t="s">
        <v>2604</v>
      </c>
      <c r="W71" s="178">
        <v>42608</v>
      </c>
      <c r="X71" s="6">
        <v>586800</v>
      </c>
      <c r="Y71" s="6">
        <f t="shared" si="9"/>
        <v>-59874</v>
      </c>
      <c r="Z71" s="61"/>
    </row>
    <row r="72" spans="1:26" ht="30" x14ac:dyDescent="0.25">
      <c r="A72" s="176" t="s">
        <v>4530</v>
      </c>
      <c r="B72" t="s">
        <v>18</v>
      </c>
      <c r="C72" t="s">
        <v>2794</v>
      </c>
      <c r="D72" t="s">
        <v>328</v>
      </c>
      <c r="E72" t="s">
        <v>41</v>
      </c>
      <c r="F72" t="s">
        <v>4529</v>
      </c>
      <c r="G72" t="s">
        <v>72</v>
      </c>
      <c r="H72" s="4" t="s">
        <v>2716</v>
      </c>
      <c r="I72" s="4" t="s">
        <v>2781</v>
      </c>
      <c r="J72" t="s">
        <v>893</v>
      </c>
      <c r="K72" s="6">
        <v>57750</v>
      </c>
      <c r="L72" s="6">
        <f t="shared" si="10"/>
        <v>14438</v>
      </c>
      <c r="M72" s="6">
        <f t="shared" si="8"/>
        <v>2</v>
      </c>
      <c r="N72" s="6">
        <v>72190</v>
      </c>
      <c r="O72" s="184" t="s">
        <v>4528</v>
      </c>
      <c r="P72" s="176" t="s">
        <v>4527</v>
      </c>
      <c r="Q72" s="4" t="s">
        <v>4526</v>
      </c>
      <c r="R72" t="s">
        <v>4525</v>
      </c>
      <c r="S72" s="178">
        <v>42331</v>
      </c>
      <c r="U72" t="s">
        <v>1775</v>
      </c>
      <c r="V72" s="178" t="s">
        <v>2571</v>
      </c>
      <c r="W72" s="178">
        <v>42331</v>
      </c>
      <c r="X72" s="6">
        <v>57750</v>
      </c>
      <c r="Y72" s="6">
        <f t="shared" si="9"/>
        <v>0</v>
      </c>
    </row>
    <row r="73" spans="1:26" x14ac:dyDescent="0.25">
      <c r="A73" s="176" t="s">
        <v>2824</v>
      </c>
      <c r="B73" t="s">
        <v>18</v>
      </c>
      <c r="C73" t="s">
        <v>2794</v>
      </c>
      <c r="D73" s="4" t="s">
        <v>958</v>
      </c>
      <c r="E73" s="4" t="s">
        <v>41</v>
      </c>
      <c r="F73" s="4" t="s">
        <v>2823</v>
      </c>
      <c r="G73" s="4" t="s">
        <v>72</v>
      </c>
      <c r="H73" s="4" t="s">
        <v>2822</v>
      </c>
      <c r="I73" s="4" t="s">
        <v>2599</v>
      </c>
      <c r="J73" s="4" t="s">
        <v>881</v>
      </c>
      <c r="K73" s="6">
        <v>88000</v>
      </c>
      <c r="L73" s="6">
        <f t="shared" si="10"/>
        <v>22000</v>
      </c>
      <c r="M73" s="6">
        <f t="shared" si="8"/>
        <v>0</v>
      </c>
      <c r="N73" s="6">
        <v>110000</v>
      </c>
      <c r="O73" s="184" t="s">
        <v>2821</v>
      </c>
      <c r="P73" s="176" t="s">
        <v>2820</v>
      </c>
      <c r="Q73" t="s">
        <v>2819</v>
      </c>
      <c r="R73" t="s">
        <v>2818</v>
      </c>
      <c r="S73" s="178">
        <v>42626</v>
      </c>
      <c r="T73" s="178">
        <v>42678</v>
      </c>
      <c r="U73" t="s">
        <v>1775</v>
      </c>
      <c r="V73" t="s">
        <v>2571</v>
      </c>
      <c r="W73" s="178">
        <v>42626</v>
      </c>
      <c r="X73" s="6">
        <v>88000</v>
      </c>
      <c r="Y73" s="6">
        <f t="shared" si="9"/>
        <v>0</v>
      </c>
    </row>
    <row r="74" spans="1:26" x14ac:dyDescent="0.25">
      <c r="A74" s="176" t="s">
        <v>2795</v>
      </c>
      <c r="B74" t="s">
        <v>18</v>
      </c>
      <c r="C74" t="s">
        <v>2794</v>
      </c>
      <c r="D74" t="s">
        <v>923</v>
      </c>
      <c r="E74" t="s">
        <v>2793</v>
      </c>
      <c r="F74" t="s">
        <v>4547</v>
      </c>
      <c r="G74" t="s">
        <v>212</v>
      </c>
      <c r="H74" s="4" t="s">
        <v>213</v>
      </c>
      <c r="I74" t="s">
        <v>2581</v>
      </c>
      <c r="J74" t="s">
        <v>877</v>
      </c>
      <c r="K74" s="6">
        <v>38533</v>
      </c>
      <c r="L74" s="6">
        <f t="shared" si="10"/>
        <v>11009.400000000001</v>
      </c>
      <c r="M74" s="6">
        <f t="shared" si="8"/>
        <v>5504.5999999999985</v>
      </c>
      <c r="N74" s="6">
        <v>55047</v>
      </c>
      <c r="O74" s="184" t="s">
        <v>4546</v>
      </c>
      <c r="P74" s="176" t="s">
        <v>4545</v>
      </c>
      <c r="Q74" t="s">
        <v>4544</v>
      </c>
      <c r="R74" t="s">
        <v>2787</v>
      </c>
      <c r="S74" s="178">
        <v>42325</v>
      </c>
      <c r="U74" t="s">
        <v>1775</v>
      </c>
      <c r="V74" s="178" t="s">
        <v>2571</v>
      </c>
      <c r="W74" s="178">
        <v>42325</v>
      </c>
      <c r="X74" s="6">
        <v>38533</v>
      </c>
      <c r="Y74" s="6">
        <f t="shared" si="9"/>
        <v>0</v>
      </c>
    </row>
    <row r="75" spans="1:26" x14ac:dyDescent="0.25">
      <c r="A75" s="176" t="s">
        <v>2795</v>
      </c>
      <c r="B75" t="s">
        <v>18</v>
      </c>
      <c r="C75" t="s">
        <v>2794</v>
      </c>
      <c r="D75" s="4" t="s">
        <v>923</v>
      </c>
      <c r="E75" s="4" t="s">
        <v>2793</v>
      </c>
      <c r="F75" s="4" t="s">
        <v>2792</v>
      </c>
      <c r="G75" s="4" t="s">
        <v>177</v>
      </c>
      <c r="H75" s="4" t="s">
        <v>178</v>
      </c>
      <c r="I75" s="4" t="s">
        <v>2581</v>
      </c>
      <c r="J75" s="4" t="s">
        <v>877</v>
      </c>
      <c r="K75" s="6">
        <v>185015</v>
      </c>
      <c r="L75" s="6">
        <f t="shared" si="10"/>
        <v>52861.428000000007</v>
      </c>
      <c r="M75" s="6">
        <f t="shared" si="8"/>
        <v>26430.712</v>
      </c>
      <c r="N75" s="6">
        <v>264307.14</v>
      </c>
      <c r="O75" s="184" t="s">
        <v>2790</v>
      </c>
      <c r="P75" s="176" t="s">
        <v>2789</v>
      </c>
      <c r="Q75" t="s">
        <v>2796</v>
      </c>
      <c r="R75" t="s">
        <v>2787</v>
      </c>
      <c r="S75" s="178">
        <v>42626</v>
      </c>
      <c r="U75" t="s">
        <v>1775</v>
      </c>
      <c r="V75" t="s">
        <v>2571</v>
      </c>
      <c r="W75" s="178">
        <v>42626</v>
      </c>
      <c r="X75" s="6">
        <v>185015</v>
      </c>
      <c r="Y75" s="6">
        <f t="shared" si="9"/>
        <v>0</v>
      </c>
    </row>
    <row r="76" spans="1:26" x14ac:dyDescent="0.25">
      <c r="A76" s="176" t="s">
        <v>2795</v>
      </c>
      <c r="B76" t="s">
        <v>18</v>
      </c>
      <c r="C76" t="s">
        <v>2794</v>
      </c>
      <c r="D76" s="4" t="s">
        <v>923</v>
      </c>
      <c r="E76" s="4" t="s">
        <v>2793</v>
      </c>
      <c r="F76" s="4" t="s">
        <v>2792</v>
      </c>
      <c r="G76" s="4" t="s">
        <v>72</v>
      </c>
      <c r="H76" s="4" t="s">
        <v>74</v>
      </c>
      <c r="I76" s="4" t="s">
        <v>2581</v>
      </c>
      <c r="J76" s="4" t="s">
        <v>877</v>
      </c>
      <c r="K76" s="6">
        <v>817932</v>
      </c>
      <c r="L76" s="6">
        <f t="shared" si="10"/>
        <v>374933.80000000005</v>
      </c>
      <c r="M76" s="6">
        <f t="shared" si="8"/>
        <v>681803.2</v>
      </c>
      <c r="N76" s="6">
        <v>1874669</v>
      </c>
      <c r="O76" s="184" t="s">
        <v>2790</v>
      </c>
      <c r="P76" s="176" t="s">
        <v>2789</v>
      </c>
      <c r="Q76" t="s">
        <v>2788</v>
      </c>
      <c r="R76" t="s">
        <v>2787</v>
      </c>
      <c r="S76" s="178">
        <v>42626</v>
      </c>
      <c r="T76" s="178">
        <v>42678</v>
      </c>
      <c r="U76" t="s">
        <v>1775</v>
      </c>
      <c r="V76" t="s">
        <v>2571</v>
      </c>
      <c r="W76" s="178">
        <v>42626</v>
      </c>
      <c r="X76" s="6">
        <v>817932</v>
      </c>
      <c r="Y76" s="6">
        <f t="shared" si="9"/>
        <v>0</v>
      </c>
    </row>
    <row r="77" spans="1:26" x14ac:dyDescent="0.25">
      <c r="A77" s="176" t="s">
        <v>2795</v>
      </c>
      <c r="B77" t="s">
        <v>18</v>
      </c>
      <c r="C77" t="s">
        <v>2794</v>
      </c>
      <c r="D77" s="4" t="s">
        <v>923</v>
      </c>
      <c r="E77" s="4" t="s">
        <v>2793</v>
      </c>
      <c r="F77" s="4" t="s">
        <v>2792</v>
      </c>
      <c r="G77" s="4" t="s">
        <v>72</v>
      </c>
      <c r="H77" s="4" t="s">
        <v>2791</v>
      </c>
      <c r="I77" s="4" t="s">
        <v>18</v>
      </c>
      <c r="J77" s="4"/>
      <c r="K77" s="6">
        <v>0</v>
      </c>
      <c r="L77" s="6">
        <v>0</v>
      </c>
      <c r="M77" s="6">
        <v>2808395</v>
      </c>
      <c r="N77" s="6">
        <v>2808395</v>
      </c>
      <c r="O77" s="184" t="s">
        <v>2790</v>
      </c>
      <c r="P77" s="176" t="s">
        <v>2789</v>
      </c>
      <c r="Q77" t="s">
        <v>2788</v>
      </c>
      <c r="R77" t="s">
        <v>2787</v>
      </c>
      <c r="S77" s="178">
        <v>42626</v>
      </c>
      <c r="T77" s="178">
        <v>42678</v>
      </c>
      <c r="U77" t="s">
        <v>1775</v>
      </c>
      <c r="V77" t="s">
        <v>2571</v>
      </c>
      <c r="W77" s="178">
        <v>42626</v>
      </c>
      <c r="X77" s="6">
        <v>2808395</v>
      </c>
      <c r="Y77" s="6">
        <v>0</v>
      </c>
    </row>
    <row r="78" spans="1:26" x14ac:dyDescent="0.25">
      <c r="A78" s="176" t="s">
        <v>4120</v>
      </c>
      <c r="B78" t="s">
        <v>18</v>
      </c>
      <c r="C78" t="s">
        <v>2794</v>
      </c>
      <c r="D78" t="s">
        <v>923</v>
      </c>
      <c r="E78" t="s">
        <v>41</v>
      </c>
      <c r="F78" t="s">
        <v>4119</v>
      </c>
      <c r="G78" t="s">
        <v>72</v>
      </c>
      <c r="H78" s="4" t="s">
        <v>2609</v>
      </c>
      <c r="I78" t="s">
        <v>2581</v>
      </c>
      <c r="J78" t="s">
        <v>877</v>
      </c>
      <c r="K78" s="6">
        <v>1740044</v>
      </c>
      <c r="L78" s="6">
        <f>N78*0.3</f>
        <v>745733.4</v>
      </c>
      <c r="M78" s="6">
        <f>N78-(K78+L78)</f>
        <v>0.60000000009313226</v>
      </c>
      <c r="N78" s="6">
        <v>2485778</v>
      </c>
      <c r="O78" s="184" t="s">
        <v>4118</v>
      </c>
      <c r="P78" s="176" t="s">
        <v>4117</v>
      </c>
      <c r="Q78" t="s">
        <v>4121</v>
      </c>
      <c r="R78" t="s">
        <v>4115</v>
      </c>
      <c r="S78" s="178">
        <v>42384</v>
      </c>
      <c r="T78" s="178">
        <v>42433</v>
      </c>
      <c r="U78" t="s">
        <v>1775</v>
      </c>
      <c r="V78" s="178" t="s">
        <v>2604</v>
      </c>
      <c r="W78" s="178">
        <v>42472</v>
      </c>
      <c r="X78" s="6">
        <v>1991004</v>
      </c>
      <c r="Y78" s="6">
        <f t="shared" ref="Y78:Y141" si="11">K78-X78</f>
        <v>-250960</v>
      </c>
      <c r="Z78" t="s">
        <v>4114</v>
      </c>
    </row>
    <row r="79" spans="1:26" x14ac:dyDescent="0.25">
      <c r="A79" s="176" t="s">
        <v>4120</v>
      </c>
      <c r="B79" t="s">
        <v>18</v>
      </c>
      <c r="C79" t="s">
        <v>2794</v>
      </c>
      <c r="D79" t="s">
        <v>923</v>
      </c>
      <c r="E79" t="s">
        <v>41</v>
      </c>
      <c r="F79" t="s">
        <v>4119</v>
      </c>
      <c r="G79" t="s">
        <v>177</v>
      </c>
      <c r="H79" s="4" t="s">
        <v>178</v>
      </c>
      <c r="I79" t="s">
        <v>2581</v>
      </c>
      <c r="J79" t="s">
        <v>877</v>
      </c>
      <c r="K79" s="6">
        <v>85319</v>
      </c>
      <c r="L79" s="6">
        <f>N79*0.3</f>
        <v>36565.5</v>
      </c>
      <c r="M79" s="6">
        <v>0</v>
      </c>
      <c r="N79" s="6">
        <v>121885</v>
      </c>
      <c r="O79" s="184" t="s">
        <v>4118</v>
      </c>
      <c r="P79" s="176" t="s">
        <v>4117</v>
      </c>
      <c r="Q79" t="s">
        <v>4116</v>
      </c>
      <c r="R79" t="s">
        <v>4115</v>
      </c>
      <c r="S79" s="178">
        <v>42384</v>
      </c>
      <c r="U79" t="s">
        <v>1775</v>
      </c>
      <c r="V79" s="178" t="s">
        <v>2604</v>
      </c>
      <c r="W79" s="178">
        <v>42472</v>
      </c>
      <c r="X79" s="6">
        <v>85319</v>
      </c>
      <c r="Y79" s="6">
        <f t="shared" si="11"/>
        <v>0</v>
      </c>
      <c r="Z79" t="s">
        <v>4114</v>
      </c>
    </row>
    <row r="80" spans="1:26" x14ac:dyDescent="0.25">
      <c r="A80" s="176" t="s">
        <v>3859</v>
      </c>
      <c r="B80" t="s">
        <v>18</v>
      </c>
      <c r="C80" s="61" t="s">
        <v>2794</v>
      </c>
      <c r="D80" s="61" t="s">
        <v>3858</v>
      </c>
      <c r="E80" s="61" t="s">
        <v>3857</v>
      </c>
      <c r="F80" s="15" t="s">
        <v>3722</v>
      </c>
      <c r="G80" s="61" t="s">
        <v>117</v>
      </c>
      <c r="H80" s="4" t="s">
        <v>119</v>
      </c>
      <c r="I80" s="4" t="s">
        <v>1277</v>
      </c>
      <c r="J80" s="4" t="s">
        <v>882</v>
      </c>
      <c r="K80" s="6">
        <v>136000</v>
      </c>
      <c r="L80" s="6">
        <f>K80*1.25-K80</f>
        <v>34000</v>
      </c>
      <c r="M80" s="6">
        <f t="shared" ref="M80:M99" si="12">N80-(K80+L80)</f>
        <v>0</v>
      </c>
      <c r="N80" s="6">
        <v>170000</v>
      </c>
      <c r="O80" s="184" t="s">
        <v>3856</v>
      </c>
      <c r="P80" s="176" t="s">
        <v>3855</v>
      </c>
      <c r="Q80" s="21" t="s">
        <v>3854</v>
      </c>
      <c r="R80" t="s">
        <v>3853</v>
      </c>
      <c r="S80" s="178">
        <v>42514</v>
      </c>
      <c r="U80" t="s">
        <v>1775</v>
      </c>
      <c r="V80" s="178" t="s">
        <v>2571</v>
      </c>
      <c r="W80" s="178">
        <v>42514</v>
      </c>
      <c r="X80" s="6">
        <v>136000</v>
      </c>
      <c r="Y80" s="6">
        <f t="shared" si="11"/>
        <v>0</v>
      </c>
    </row>
    <row r="81" spans="1:26" x14ac:dyDescent="0.25">
      <c r="A81" s="176" t="s">
        <v>3519</v>
      </c>
      <c r="B81" t="s">
        <v>18</v>
      </c>
      <c r="C81" s="61" t="s">
        <v>2794</v>
      </c>
      <c r="D81" s="61" t="s">
        <v>958</v>
      </c>
      <c r="E81" s="15" t="s">
        <v>3518</v>
      </c>
      <c r="F81" s="15" t="s">
        <v>3517</v>
      </c>
      <c r="G81" s="61" t="s">
        <v>117</v>
      </c>
      <c r="H81" s="4" t="s">
        <v>119</v>
      </c>
      <c r="I81" s="4" t="s">
        <v>1277</v>
      </c>
      <c r="J81" s="4" t="s">
        <v>877</v>
      </c>
      <c r="K81" s="6">
        <v>349963</v>
      </c>
      <c r="L81" s="6">
        <f>K81*1.25-K81</f>
        <v>87490.75</v>
      </c>
      <c r="M81" s="6">
        <f t="shared" si="12"/>
        <v>0.25</v>
      </c>
      <c r="N81" s="6">
        <v>437454</v>
      </c>
      <c r="O81" s="184" t="s">
        <v>3516</v>
      </c>
      <c r="P81" s="176" t="s">
        <v>3515</v>
      </c>
      <c r="Q81" s="21" t="s">
        <v>3514</v>
      </c>
      <c r="R81" t="s">
        <v>3513</v>
      </c>
      <c r="S81" s="178">
        <v>42551</v>
      </c>
      <c r="U81" s="186" t="s">
        <v>1775</v>
      </c>
      <c r="V81" s="178" t="s">
        <v>2571</v>
      </c>
      <c r="W81" s="178">
        <v>42551</v>
      </c>
      <c r="X81" s="6">
        <v>349963</v>
      </c>
      <c r="Y81" s="6">
        <f t="shared" si="11"/>
        <v>0</v>
      </c>
    </row>
    <row r="82" spans="1:26" x14ac:dyDescent="0.25">
      <c r="A82" s="176" t="s">
        <v>4113</v>
      </c>
      <c r="B82" t="s">
        <v>18</v>
      </c>
      <c r="C82" t="s">
        <v>2831</v>
      </c>
      <c r="D82" t="s">
        <v>3638</v>
      </c>
      <c r="E82" t="s">
        <v>1924</v>
      </c>
      <c r="F82" t="s">
        <v>4112</v>
      </c>
      <c r="G82" t="s">
        <v>212</v>
      </c>
      <c r="H82" s="4" t="s">
        <v>213</v>
      </c>
      <c r="I82" t="s">
        <v>2581</v>
      </c>
      <c r="J82" t="s">
        <v>877</v>
      </c>
      <c r="K82" s="6">
        <v>272942</v>
      </c>
      <c r="L82" s="6">
        <f>K82*1.25-K82</f>
        <v>68235.5</v>
      </c>
      <c r="M82" s="6">
        <f t="shared" si="12"/>
        <v>214332.5</v>
      </c>
      <c r="N82" s="6">
        <v>555510</v>
      </c>
      <c r="O82" s="184" t="s">
        <v>4111</v>
      </c>
      <c r="P82" s="176" t="s">
        <v>4110</v>
      </c>
      <c r="Q82" t="s">
        <v>4109</v>
      </c>
      <c r="R82" t="s">
        <v>4108</v>
      </c>
      <c r="S82" s="178">
        <v>42473</v>
      </c>
      <c r="U82" t="s">
        <v>1775</v>
      </c>
      <c r="V82" s="178" t="s">
        <v>2571</v>
      </c>
      <c r="W82" s="178">
        <v>42473</v>
      </c>
      <c r="X82" s="6">
        <v>272942</v>
      </c>
      <c r="Y82" s="6">
        <f t="shared" si="11"/>
        <v>0</v>
      </c>
    </row>
    <row r="83" spans="1:26" ht="30" x14ac:dyDescent="0.25">
      <c r="A83" s="176" t="s">
        <v>730</v>
      </c>
      <c r="B83" t="s">
        <v>90</v>
      </c>
      <c r="C83" t="s">
        <v>2831</v>
      </c>
      <c r="D83" t="s">
        <v>91</v>
      </c>
      <c r="E83" t="s">
        <v>479</v>
      </c>
      <c r="F83" t="s">
        <v>1082</v>
      </c>
      <c r="G83" t="s">
        <v>72</v>
      </c>
      <c r="H83" s="4" t="s">
        <v>75</v>
      </c>
      <c r="I83" t="s">
        <v>1276</v>
      </c>
      <c r="J83" t="s">
        <v>871</v>
      </c>
      <c r="K83" s="6">
        <f>(4490505+9498)-K84</f>
        <v>3913046</v>
      </c>
      <c r="L83" s="6">
        <v>434897.5</v>
      </c>
      <c r="M83" s="6">
        <f t="shared" si="12"/>
        <v>39629.5</v>
      </c>
      <c r="N83" s="6">
        <f>(5033837+11873)-N84</f>
        <v>4387573</v>
      </c>
      <c r="O83" s="184" t="s">
        <v>1285</v>
      </c>
      <c r="P83" s="176" t="s">
        <v>1445</v>
      </c>
      <c r="Q83" t="s">
        <v>3288</v>
      </c>
      <c r="R83" s="4" t="s">
        <v>3287</v>
      </c>
      <c r="S83" s="178">
        <v>42384</v>
      </c>
      <c r="U83" t="s">
        <v>2301</v>
      </c>
      <c r="V83" s="178" t="s">
        <v>2604</v>
      </c>
      <c r="W83" s="178">
        <v>42573</v>
      </c>
      <c r="X83" s="6">
        <v>2430000</v>
      </c>
      <c r="Y83" s="6">
        <f t="shared" si="11"/>
        <v>1483046</v>
      </c>
      <c r="Z83" t="s">
        <v>3286</v>
      </c>
    </row>
    <row r="84" spans="1:26" ht="30" x14ac:dyDescent="0.25">
      <c r="A84" s="176" t="s">
        <v>730</v>
      </c>
      <c r="B84" t="s">
        <v>90</v>
      </c>
      <c r="C84" t="s">
        <v>2831</v>
      </c>
      <c r="D84" t="s">
        <v>91</v>
      </c>
      <c r="E84" t="s">
        <v>479</v>
      </c>
      <c r="F84" t="s">
        <v>1082</v>
      </c>
      <c r="G84" t="s">
        <v>177</v>
      </c>
      <c r="H84" s="4" t="s">
        <v>178</v>
      </c>
      <c r="I84" t="s">
        <v>1276</v>
      </c>
      <c r="J84" t="s">
        <v>871</v>
      </c>
      <c r="K84" s="6">
        <f>585718+1239</f>
        <v>586957</v>
      </c>
      <c r="L84" s="6">
        <v>65234.7</v>
      </c>
      <c r="M84" s="6">
        <f t="shared" si="12"/>
        <v>5945.3000000000466</v>
      </c>
      <c r="N84" s="6">
        <f>(1549+650798+5790)</f>
        <v>658137</v>
      </c>
      <c r="O84" s="184" t="s">
        <v>1285</v>
      </c>
      <c r="P84" s="176" t="s">
        <v>1445</v>
      </c>
      <c r="Q84" t="s">
        <v>3288</v>
      </c>
      <c r="R84" s="4" t="s">
        <v>3287</v>
      </c>
      <c r="S84" s="178">
        <v>42384</v>
      </c>
      <c r="U84" t="s">
        <v>2301</v>
      </c>
      <c r="V84" s="178" t="s">
        <v>2604</v>
      </c>
      <c r="W84" s="178">
        <v>42573</v>
      </c>
      <c r="X84" s="6">
        <v>270000</v>
      </c>
      <c r="Y84" s="6">
        <f t="shared" si="11"/>
        <v>316957</v>
      </c>
      <c r="Z84" t="s">
        <v>3286</v>
      </c>
    </row>
    <row r="85" spans="1:26" x14ac:dyDescent="0.25">
      <c r="A85" s="188" t="s">
        <v>3909</v>
      </c>
      <c r="B85" t="s">
        <v>90</v>
      </c>
      <c r="C85" s="61" t="s">
        <v>2831</v>
      </c>
      <c r="D85" s="61" t="s">
        <v>3908</v>
      </c>
      <c r="E85" s="61" t="s">
        <v>3907</v>
      </c>
      <c r="F85" s="15" t="s">
        <v>3510</v>
      </c>
      <c r="G85" s="61" t="s">
        <v>177</v>
      </c>
      <c r="H85" s="15" t="s">
        <v>178</v>
      </c>
      <c r="I85" s="4" t="s">
        <v>1275</v>
      </c>
      <c r="J85" s="4" t="s">
        <v>873</v>
      </c>
      <c r="K85" s="6">
        <v>144000</v>
      </c>
      <c r="L85" s="6">
        <f>N85*0.2</f>
        <v>36000</v>
      </c>
      <c r="M85" s="6">
        <f t="shared" si="12"/>
        <v>0</v>
      </c>
      <c r="N85" s="6">
        <v>180000</v>
      </c>
      <c r="O85" s="184" t="s">
        <v>3906</v>
      </c>
      <c r="P85" s="176" t="s">
        <v>3905</v>
      </c>
      <c r="Q85" s="21" t="s">
        <v>3910</v>
      </c>
      <c r="R85" t="s">
        <v>3903</v>
      </c>
      <c r="S85" s="178">
        <v>42508</v>
      </c>
      <c r="U85" t="s">
        <v>1775</v>
      </c>
      <c r="V85" s="178" t="s">
        <v>2571</v>
      </c>
      <c r="W85" s="178">
        <v>42508</v>
      </c>
      <c r="X85" s="6">
        <v>144000</v>
      </c>
      <c r="Y85" s="6">
        <f t="shared" si="11"/>
        <v>0</v>
      </c>
    </row>
    <row r="86" spans="1:26" x14ac:dyDescent="0.25">
      <c r="A86" s="188" t="s">
        <v>3909</v>
      </c>
      <c r="B86" t="s">
        <v>90</v>
      </c>
      <c r="C86" s="61" t="s">
        <v>2831</v>
      </c>
      <c r="D86" s="61" t="s">
        <v>3908</v>
      </c>
      <c r="E86" s="61" t="s">
        <v>3907</v>
      </c>
      <c r="F86" s="15" t="s">
        <v>3510</v>
      </c>
      <c r="G86" s="61" t="s">
        <v>72</v>
      </c>
      <c r="H86" s="4" t="s">
        <v>651</v>
      </c>
      <c r="I86" s="4" t="s">
        <v>1275</v>
      </c>
      <c r="J86" s="4" t="s">
        <v>873</v>
      </c>
      <c r="K86" s="6">
        <f>1440000-K85</f>
        <v>1296000</v>
      </c>
      <c r="L86" s="6">
        <f>N86*0.2</f>
        <v>324000</v>
      </c>
      <c r="M86" s="6">
        <f t="shared" si="12"/>
        <v>0</v>
      </c>
      <c r="N86" s="6">
        <f>1800000-N85</f>
        <v>1620000</v>
      </c>
      <c r="O86" s="184" t="s">
        <v>3906</v>
      </c>
      <c r="P86" s="176" t="s">
        <v>3905</v>
      </c>
      <c r="Q86" s="21" t="s">
        <v>3904</v>
      </c>
      <c r="R86" t="s">
        <v>3903</v>
      </c>
      <c r="S86" s="178">
        <v>42508</v>
      </c>
      <c r="T86" s="178">
        <v>42580</v>
      </c>
      <c r="U86" t="s">
        <v>1775</v>
      </c>
      <c r="V86" s="178" t="s">
        <v>2571</v>
      </c>
      <c r="W86" s="178">
        <v>42508</v>
      </c>
      <c r="X86" s="6">
        <v>1296000</v>
      </c>
      <c r="Y86" s="6">
        <f t="shared" si="11"/>
        <v>0</v>
      </c>
    </row>
    <row r="87" spans="1:26" x14ac:dyDescent="0.25">
      <c r="A87" s="176" t="s">
        <v>367</v>
      </c>
      <c r="B87" t="s">
        <v>90</v>
      </c>
      <c r="C87" t="s">
        <v>2831</v>
      </c>
      <c r="D87" t="s">
        <v>343</v>
      </c>
      <c r="E87" t="s">
        <v>329</v>
      </c>
      <c r="F87" s="4" t="s">
        <v>3985</v>
      </c>
      <c r="G87" t="s">
        <v>177</v>
      </c>
      <c r="H87" s="4" t="s">
        <v>178</v>
      </c>
      <c r="I87" t="s">
        <v>2284</v>
      </c>
      <c r="J87" t="s">
        <v>889</v>
      </c>
      <c r="K87" s="6">
        <v>80000</v>
      </c>
      <c r="L87" s="6">
        <f>N87*0.2</f>
        <v>20000</v>
      </c>
      <c r="M87" s="6">
        <f t="shared" si="12"/>
        <v>0</v>
      </c>
      <c r="N87" s="6">
        <v>100000</v>
      </c>
      <c r="O87" s="184" t="s">
        <v>1944</v>
      </c>
      <c r="P87" s="176" t="s">
        <v>1945</v>
      </c>
      <c r="Q87" t="s">
        <v>3986</v>
      </c>
      <c r="R87" t="s">
        <v>3983</v>
      </c>
      <c r="S87" s="178">
        <v>42488</v>
      </c>
      <c r="U87" t="s">
        <v>1775</v>
      </c>
      <c r="V87" s="178" t="s">
        <v>2571</v>
      </c>
      <c r="W87" s="178">
        <v>42488</v>
      </c>
      <c r="X87" s="6">
        <v>80000</v>
      </c>
      <c r="Y87" s="6">
        <f t="shared" si="11"/>
        <v>0</v>
      </c>
    </row>
    <row r="88" spans="1:26" x14ac:dyDescent="0.25">
      <c r="A88" s="176" t="s">
        <v>367</v>
      </c>
      <c r="B88" t="s">
        <v>90</v>
      </c>
      <c r="C88" t="s">
        <v>2831</v>
      </c>
      <c r="D88" t="s">
        <v>343</v>
      </c>
      <c r="E88" t="s">
        <v>329</v>
      </c>
      <c r="F88" s="4" t="s">
        <v>3985</v>
      </c>
      <c r="G88" t="s">
        <v>72</v>
      </c>
      <c r="H88" s="4" t="s">
        <v>75</v>
      </c>
      <c r="I88" t="s">
        <v>2284</v>
      </c>
      <c r="J88" t="s">
        <v>889</v>
      </c>
      <c r="K88" s="6">
        <v>720000</v>
      </c>
      <c r="L88" s="6">
        <f>N88*0.2</f>
        <v>180000</v>
      </c>
      <c r="M88" s="6">
        <f t="shared" si="12"/>
        <v>0</v>
      </c>
      <c r="N88" s="6">
        <v>900000</v>
      </c>
      <c r="O88" s="184" t="s">
        <v>1944</v>
      </c>
      <c r="P88" s="176" t="s">
        <v>1945</v>
      </c>
      <c r="Q88" t="s">
        <v>3984</v>
      </c>
      <c r="R88" t="s">
        <v>3983</v>
      </c>
      <c r="S88" s="178">
        <v>42488</v>
      </c>
      <c r="T88" s="178">
        <v>42531</v>
      </c>
      <c r="U88" t="s">
        <v>1775</v>
      </c>
      <c r="V88" s="178" t="s">
        <v>2571</v>
      </c>
      <c r="W88" s="178">
        <v>42488</v>
      </c>
      <c r="X88" s="6">
        <v>720000</v>
      </c>
      <c r="Y88" s="6">
        <f t="shared" si="11"/>
        <v>0</v>
      </c>
    </row>
    <row r="89" spans="1:26" x14ac:dyDescent="0.25">
      <c r="A89" s="176" t="s">
        <v>367</v>
      </c>
      <c r="B89" t="s">
        <v>90</v>
      </c>
      <c r="C89" t="s">
        <v>2831</v>
      </c>
      <c r="D89" t="s">
        <v>343</v>
      </c>
      <c r="E89" t="s">
        <v>979</v>
      </c>
      <c r="F89" t="s">
        <v>3939</v>
      </c>
      <c r="G89" t="s">
        <v>72</v>
      </c>
      <c r="H89" s="4" t="s">
        <v>75</v>
      </c>
      <c r="I89" t="s">
        <v>2284</v>
      </c>
      <c r="J89" t="s">
        <v>889</v>
      </c>
      <c r="K89" s="6">
        <f>1008815-K90</f>
        <v>877230</v>
      </c>
      <c r="L89" s="6">
        <f>(783518+313019)*0.2</f>
        <v>219307.40000000002</v>
      </c>
      <c r="M89" s="6">
        <f t="shared" si="12"/>
        <v>9142.6000000000931</v>
      </c>
      <c r="N89" s="6">
        <f>1270910-N90</f>
        <v>1105680</v>
      </c>
      <c r="O89" s="184" t="s">
        <v>1941</v>
      </c>
      <c r="P89" s="176" t="s">
        <v>1942</v>
      </c>
      <c r="Q89" t="s">
        <v>3940</v>
      </c>
      <c r="R89" t="s">
        <v>3937</v>
      </c>
      <c r="S89" s="178">
        <v>42318</v>
      </c>
      <c r="U89" s="186" t="s">
        <v>1775</v>
      </c>
      <c r="V89" s="178" t="s">
        <v>2604</v>
      </c>
      <c r="W89" s="178">
        <v>42502</v>
      </c>
      <c r="X89" s="6">
        <v>604000</v>
      </c>
      <c r="Y89" s="6">
        <f t="shared" si="11"/>
        <v>273230</v>
      </c>
    </row>
    <row r="90" spans="1:26" x14ac:dyDescent="0.25">
      <c r="A90" s="176" t="s">
        <v>367</v>
      </c>
      <c r="B90" t="s">
        <v>90</v>
      </c>
      <c r="C90" t="s">
        <v>2831</v>
      </c>
      <c r="D90" t="s">
        <v>343</v>
      </c>
      <c r="E90" t="s">
        <v>979</v>
      </c>
      <c r="F90" t="s">
        <v>3939</v>
      </c>
      <c r="G90" t="s">
        <v>177</v>
      </c>
      <c r="H90" s="4" t="s">
        <v>178</v>
      </c>
      <c r="I90" t="s">
        <v>2284</v>
      </c>
      <c r="J90" t="s">
        <v>889</v>
      </c>
      <c r="K90" s="6">
        <v>131585</v>
      </c>
      <c r="L90" s="6">
        <f>164481*0.2</f>
        <v>32896.200000000004</v>
      </c>
      <c r="M90" s="6">
        <f t="shared" si="12"/>
        <v>748.79999999998836</v>
      </c>
      <c r="N90" s="6">
        <f>164481+749</f>
        <v>165230</v>
      </c>
      <c r="O90" s="184" t="s">
        <v>1941</v>
      </c>
      <c r="P90" s="176" t="s">
        <v>1942</v>
      </c>
      <c r="Q90" t="s">
        <v>3938</v>
      </c>
      <c r="R90" t="s">
        <v>3937</v>
      </c>
      <c r="S90" s="178">
        <v>42318</v>
      </c>
      <c r="U90" s="186" t="s">
        <v>1775</v>
      </c>
      <c r="V90" s="178" t="s">
        <v>2604</v>
      </c>
      <c r="W90" s="178">
        <v>42502</v>
      </c>
      <c r="X90" s="6">
        <v>0</v>
      </c>
      <c r="Y90" s="6">
        <f t="shared" si="11"/>
        <v>131585</v>
      </c>
    </row>
    <row r="91" spans="1:26" x14ac:dyDescent="0.25">
      <c r="A91" s="176" t="s">
        <v>4353</v>
      </c>
      <c r="B91" t="s">
        <v>90</v>
      </c>
      <c r="C91" t="s">
        <v>2831</v>
      </c>
      <c r="D91" t="s">
        <v>360</v>
      </c>
      <c r="E91" t="s">
        <v>4352</v>
      </c>
      <c r="F91" t="s">
        <v>4351</v>
      </c>
      <c r="G91" t="s">
        <v>72</v>
      </c>
      <c r="H91" s="4" t="s">
        <v>4355</v>
      </c>
      <c r="I91" t="s">
        <v>1276</v>
      </c>
      <c r="J91" t="s">
        <v>871</v>
      </c>
      <c r="K91" s="6">
        <v>2160000</v>
      </c>
      <c r="L91" s="6">
        <f>N91*0.1</f>
        <v>252000</v>
      </c>
      <c r="M91" s="6">
        <f t="shared" si="12"/>
        <v>108000</v>
      </c>
      <c r="N91" s="6">
        <v>2520000</v>
      </c>
      <c r="O91" s="184" t="s">
        <v>4350</v>
      </c>
      <c r="P91" s="176" t="s">
        <v>4349</v>
      </c>
      <c r="Q91" t="s">
        <v>4354</v>
      </c>
      <c r="R91" t="s">
        <v>4347</v>
      </c>
      <c r="S91" s="178">
        <v>42395</v>
      </c>
      <c r="T91" s="178">
        <v>42433</v>
      </c>
      <c r="U91" t="s">
        <v>1775</v>
      </c>
      <c r="V91" s="178" t="s">
        <v>2571</v>
      </c>
      <c r="W91" s="178">
        <v>42395</v>
      </c>
      <c r="X91" s="6">
        <v>2160000</v>
      </c>
      <c r="Y91" s="6">
        <f t="shared" si="11"/>
        <v>0</v>
      </c>
      <c r="Z91" s="15"/>
    </row>
    <row r="92" spans="1:26" x14ac:dyDescent="0.25">
      <c r="A92" s="176" t="s">
        <v>4353</v>
      </c>
      <c r="B92" t="s">
        <v>90</v>
      </c>
      <c r="C92" t="s">
        <v>2831</v>
      </c>
      <c r="D92" t="s">
        <v>360</v>
      </c>
      <c r="E92" t="s">
        <v>4352</v>
      </c>
      <c r="F92" t="s">
        <v>4351</v>
      </c>
      <c r="G92" t="s">
        <v>177</v>
      </c>
      <c r="H92" s="4" t="s">
        <v>178</v>
      </c>
      <c r="I92" t="s">
        <v>1276</v>
      </c>
      <c r="J92" t="s">
        <v>871</v>
      </c>
      <c r="K92" s="6">
        <v>252000</v>
      </c>
      <c r="L92" s="6">
        <f>N92*0.1</f>
        <v>28000</v>
      </c>
      <c r="M92" s="6">
        <f t="shared" si="12"/>
        <v>0</v>
      </c>
      <c r="N92" s="6">
        <v>280000</v>
      </c>
      <c r="O92" s="184" t="s">
        <v>4350</v>
      </c>
      <c r="P92" s="176" t="s">
        <v>4349</v>
      </c>
      <c r="Q92" t="s">
        <v>4348</v>
      </c>
      <c r="R92" t="s">
        <v>4347</v>
      </c>
      <c r="S92" s="178">
        <v>42395</v>
      </c>
      <c r="U92" t="s">
        <v>1775</v>
      </c>
      <c r="V92" s="178" t="s">
        <v>2571</v>
      </c>
      <c r="W92" s="178">
        <v>42395</v>
      </c>
      <c r="X92" s="6">
        <v>252000</v>
      </c>
      <c r="Y92" s="6">
        <f t="shared" si="11"/>
        <v>0</v>
      </c>
      <c r="Z92" s="15"/>
    </row>
    <row r="93" spans="1:26" ht="30" x14ac:dyDescent="0.25">
      <c r="A93" s="176" t="s">
        <v>4524</v>
      </c>
      <c r="B93" t="s">
        <v>18</v>
      </c>
      <c r="C93" t="s">
        <v>2831</v>
      </c>
      <c r="D93" t="s">
        <v>351</v>
      </c>
      <c r="E93" t="s">
        <v>41</v>
      </c>
      <c r="F93" t="s">
        <v>4523</v>
      </c>
      <c r="G93" t="s">
        <v>72</v>
      </c>
      <c r="H93" s="4" t="s">
        <v>3728</v>
      </c>
      <c r="I93" s="4" t="s">
        <v>2781</v>
      </c>
      <c r="J93" t="s">
        <v>887</v>
      </c>
      <c r="K93" s="6">
        <v>147560</v>
      </c>
      <c r="L93" s="6">
        <f>N93*0.2</f>
        <v>36890</v>
      </c>
      <c r="M93" s="6">
        <f t="shared" si="12"/>
        <v>0</v>
      </c>
      <c r="N93" s="6">
        <v>184450</v>
      </c>
      <c r="O93" s="184" t="s">
        <v>4522</v>
      </c>
      <c r="P93" s="176" t="s">
        <v>4521</v>
      </c>
      <c r="Q93" s="4" t="s">
        <v>4520</v>
      </c>
      <c r="R93" t="s">
        <v>4519</v>
      </c>
      <c r="S93" s="178">
        <v>42331</v>
      </c>
      <c r="U93" t="s">
        <v>1775</v>
      </c>
      <c r="V93" s="178" t="s">
        <v>2571</v>
      </c>
      <c r="W93" s="178">
        <v>42331</v>
      </c>
      <c r="X93" s="6">
        <v>147560</v>
      </c>
      <c r="Y93" s="6">
        <f t="shared" si="11"/>
        <v>0</v>
      </c>
    </row>
    <row r="94" spans="1:26" ht="45" x14ac:dyDescent="0.25">
      <c r="A94" s="176" t="s">
        <v>1947</v>
      </c>
      <c r="B94" t="s">
        <v>18</v>
      </c>
      <c r="C94" t="s">
        <v>2831</v>
      </c>
      <c r="D94" t="s">
        <v>91</v>
      </c>
      <c r="E94" t="s">
        <v>1949</v>
      </c>
      <c r="F94" t="s">
        <v>4312</v>
      </c>
      <c r="G94" t="s">
        <v>73</v>
      </c>
      <c r="H94" s="4" t="s">
        <v>245</v>
      </c>
      <c r="I94" t="s">
        <v>2284</v>
      </c>
      <c r="J94" t="s">
        <v>889</v>
      </c>
      <c r="K94" s="6">
        <v>80000</v>
      </c>
      <c r="L94" s="6">
        <f>N94*0.2</f>
        <v>23000</v>
      </c>
      <c r="M94" s="6">
        <f t="shared" si="12"/>
        <v>12000</v>
      </c>
      <c r="N94" s="6">
        <v>115000</v>
      </c>
      <c r="O94" s="184" t="s">
        <v>1946</v>
      </c>
      <c r="P94" s="176" t="s">
        <v>1948</v>
      </c>
      <c r="Q94" s="4" t="s">
        <v>4311</v>
      </c>
      <c r="R94" t="s">
        <v>4310</v>
      </c>
      <c r="S94" s="178">
        <v>42328</v>
      </c>
      <c r="U94" t="s">
        <v>1775</v>
      </c>
      <c r="V94" s="178" t="s">
        <v>2571</v>
      </c>
      <c r="W94" s="178">
        <v>42402</v>
      </c>
      <c r="X94" s="6">
        <v>80000</v>
      </c>
      <c r="Y94" s="6">
        <f t="shared" si="11"/>
        <v>0</v>
      </c>
    </row>
    <row r="95" spans="1:26" x14ac:dyDescent="0.25">
      <c r="A95" s="176" t="s">
        <v>4486</v>
      </c>
      <c r="B95" t="s">
        <v>18</v>
      </c>
      <c r="C95" t="s">
        <v>2831</v>
      </c>
      <c r="D95" t="s">
        <v>4485</v>
      </c>
      <c r="E95" t="s">
        <v>4484</v>
      </c>
      <c r="F95" t="s">
        <v>4483</v>
      </c>
      <c r="G95" t="s">
        <v>212</v>
      </c>
      <c r="H95" s="4" t="s">
        <v>213</v>
      </c>
      <c r="I95" t="s">
        <v>2581</v>
      </c>
      <c r="J95" t="s">
        <v>877</v>
      </c>
      <c r="K95" s="6">
        <v>149000</v>
      </c>
      <c r="L95" s="6">
        <f>N95*0.2</f>
        <v>61475.600000000006</v>
      </c>
      <c r="M95" s="6">
        <f t="shared" si="12"/>
        <v>96902.399999999994</v>
      </c>
      <c r="N95" s="6">
        <v>307378</v>
      </c>
      <c r="O95" s="184" t="s">
        <v>4482</v>
      </c>
      <c r="P95" s="176" t="s">
        <v>4481</v>
      </c>
      <c r="Q95" t="s">
        <v>4480</v>
      </c>
      <c r="R95" t="s">
        <v>4479</v>
      </c>
      <c r="S95" s="178">
        <v>42339</v>
      </c>
      <c r="U95" t="s">
        <v>1775</v>
      </c>
      <c r="V95" s="178" t="s">
        <v>2571</v>
      </c>
      <c r="W95" s="178">
        <v>42339</v>
      </c>
      <c r="X95" s="6">
        <v>149000</v>
      </c>
      <c r="Y95" s="6">
        <f t="shared" si="11"/>
        <v>0</v>
      </c>
      <c r="Z95" s="15"/>
    </row>
    <row r="96" spans="1:26" x14ac:dyDescent="0.25">
      <c r="A96" s="176" t="s">
        <v>4465</v>
      </c>
      <c r="B96" t="s">
        <v>18</v>
      </c>
      <c r="C96" t="s">
        <v>2831</v>
      </c>
      <c r="D96" t="s">
        <v>4464</v>
      </c>
      <c r="E96" t="s">
        <v>1051</v>
      </c>
      <c r="F96" t="s">
        <v>457</v>
      </c>
      <c r="G96" t="s">
        <v>212</v>
      </c>
      <c r="H96" s="4" t="s">
        <v>213</v>
      </c>
      <c r="I96" t="s">
        <v>2581</v>
      </c>
      <c r="J96" t="s">
        <v>877</v>
      </c>
      <c r="K96" s="6">
        <v>185371</v>
      </c>
      <c r="L96" s="6">
        <f>N96*0.2</f>
        <v>74148.400000000009</v>
      </c>
      <c r="M96" s="6">
        <f t="shared" si="12"/>
        <v>111222.59999999998</v>
      </c>
      <c r="N96" s="6">
        <v>370742</v>
      </c>
      <c r="O96" s="184" t="s">
        <v>4605</v>
      </c>
      <c r="P96" s="176" t="s">
        <v>4604</v>
      </c>
      <c r="Q96" t="s">
        <v>4603</v>
      </c>
      <c r="R96" t="s">
        <v>4460</v>
      </c>
      <c r="S96" s="178">
        <v>42314</v>
      </c>
      <c r="U96" s="186" t="s">
        <v>2301</v>
      </c>
      <c r="V96" s="178" t="s">
        <v>2571</v>
      </c>
      <c r="W96" s="178">
        <v>42314</v>
      </c>
      <c r="X96" s="6">
        <v>185371</v>
      </c>
      <c r="Y96" s="6">
        <f t="shared" si="11"/>
        <v>0</v>
      </c>
    </row>
    <row r="97" spans="1:26" x14ac:dyDescent="0.25">
      <c r="A97" s="176" t="s">
        <v>4465</v>
      </c>
      <c r="B97" t="s">
        <v>18</v>
      </c>
      <c r="C97" t="s">
        <v>2831</v>
      </c>
      <c r="D97" t="s">
        <v>4464</v>
      </c>
      <c r="E97" t="s">
        <v>1051</v>
      </c>
      <c r="F97" t="s">
        <v>457</v>
      </c>
      <c r="G97" t="s">
        <v>73</v>
      </c>
      <c r="H97" s="4" t="s">
        <v>245</v>
      </c>
      <c r="I97" t="s">
        <v>2581</v>
      </c>
      <c r="J97" t="s">
        <v>877</v>
      </c>
      <c r="K97" s="6">
        <v>913000</v>
      </c>
      <c r="L97" s="6">
        <f>N97*0.5</f>
        <v>913000</v>
      </c>
      <c r="M97" s="6">
        <f t="shared" si="12"/>
        <v>0</v>
      </c>
      <c r="N97" s="6">
        <v>1826000</v>
      </c>
      <c r="O97" s="184" t="s">
        <v>4463</v>
      </c>
      <c r="P97" s="176" t="s">
        <v>4462</v>
      </c>
      <c r="Q97" s="4" t="s">
        <v>4461</v>
      </c>
      <c r="R97" t="s">
        <v>4460</v>
      </c>
      <c r="S97" s="178">
        <v>42331</v>
      </c>
      <c r="U97" t="s">
        <v>1775</v>
      </c>
      <c r="V97" s="178" t="s">
        <v>2604</v>
      </c>
      <c r="W97" s="178">
        <v>42345</v>
      </c>
      <c r="X97" s="6">
        <v>913000</v>
      </c>
      <c r="Y97" s="6">
        <f t="shared" si="11"/>
        <v>0</v>
      </c>
    </row>
    <row r="98" spans="1:26" x14ac:dyDescent="0.25">
      <c r="A98" s="176" t="s">
        <v>2920</v>
      </c>
      <c r="B98" t="s">
        <v>18</v>
      </c>
      <c r="C98" t="s">
        <v>2831</v>
      </c>
      <c r="D98" t="s">
        <v>915</v>
      </c>
      <c r="E98" t="s">
        <v>2919</v>
      </c>
      <c r="F98" t="s">
        <v>4309</v>
      </c>
      <c r="G98" t="s">
        <v>212</v>
      </c>
      <c r="H98" s="4" t="s">
        <v>213</v>
      </c>
      <c r="I98" t="s">
        <v>2581</v>
      </c>
      <c r="J98" s="4" t="s">
        <v>877</v>
      </c>
      <c r="K98" s="6">
        <v>267150</v>
      </c>
      <c r="L98" s="6">
        <f>N98*0.5</f>
        <v>267150</v>
      </c>
      <c r="M98" s="6">
        <f t="shared" si="12"/>
        <v>0</v>
      </c>
      <c r="N98" s="6">
        <v>534300</v>
      </c>
      <c r="O98" s="184" t="s">
        <v>4308</v>
      </c>
      <c r="P98" s="176" t="s">
        <v>4307</v>
      </c>
      <c r="Q98" t="s">
        <v>4306</v>
      </c>
      <c r="R98" t="s">
        <v>4305</v>
      </c>
      <c r="S98" s="178">
        <v>42404</v>
      </c>
      <c r="U98" t="s">
        <v>1775</v>
      </c>
      <c r="V98" s="178" t="s">
        <v>2571</v>
      </c>
      <c r="W98" s="178">
        <v>42404</v>
      </c>
      <c r="X98" s="6">
        <v>267150</v>
      </c>
      <c r="Y98" s="6">
        <f t="shared" si="11"/>
        <v>0</v>
      </c>
      <c r="Z98" t="s">
        <v>4304</v>
      </c>
    </row>
    <row r="99" spans="1:26" x14ac:dyDescent="0.25">
      <c r="A99" s="176" t="s">
        <v>2920</v>
      </c>
      <c r="B99" t="s">
        <v>18</v>
      </c>
      <c r="C99" t="s">
        <v>2831</v>
      </c>
      <c r="D99" s="4" t="s">
        <v>915</v>
      </c>
      <c r="E99" s="4" t="s">
        <v>2919</v>
      </c>
      <c r="F99" t="s">
        <v>2918</v>
      </c>
      <c r="G99" t="s">
        <v>212</v>
      </c>
      <c r="H99" s="4" t="s">
        <v>213</v>
      </c>
      <c r="I99" s="4" t="s">
        <v>2581</v>
      </c>
      <c r="J99" s="4" t="s">
        <v>877</v>
      </c>
      <c r="K99" s="6">
        <v>263401</v>
      </c>
      <c r="L99" s="6">
        <f>N99*0.5</f>
        <v>263401</v>
      </c>
      <c r="M99" s="6">
        <f t="shared" si="12"/>
        <v>0</v>
      </c>
      <c r="N99" s="6">
        <v>526802</v>
      </c>
      <c r="O99" s="184" t="s">
        <v>2917</v>
      </c>
      <c r="P99" s="176" t="s">
        <v>2916</v>
      </c>
      <c r="Q99" t="s">
        <v>2915</v>
      </c>
      <c r="R99" t="s">
        <v>2914</v>
      </c>
      <c r="S99" s="178">
        <v>42615</v>
      </c>
      <c r="U99" s="61" t="s">
        <v>1775</v>
      </c>
      <c r="V99" s="178" t="s">
        <v>2571</v>
      </c>
      <c r="W99" s="178">
        <v>42615</v>
      </c>
      <c r="X99" s="6">
        <v>263401</v>
      </c>
      <c r="Y99" s="6">
        <f t="shared" si="11"/>
        <v>0</v>
      </c>
    </row>
    <row r="100" spans="1:26" x14ac:dyDescent="0.25">
      <c r="A100" s="176" t="s">
        <v>4139</v>
      </c>
      <c r="B100" t="s">
        <v>18</v>
      </c>
      <c r="C100" t="s">
        <v>2831</v>
      </c>
      <c r="D100" t="s">
        <v>343</v>
      </c>
      <c r="E100" t="s">
        <v>979</v>
      </c>
      <c r="F100" s="4" t="s">
        <v>4138</v>
      </c>
      <c r="G100" t="s">
        <v>177</v>
      </c>
      <c r="H100" s="4" t="s">
        <v>178</v>
      </c>
      <c r="I100" t="s">
        <v>2581</v>
      </c>
      <c r="J100" t="s">
        <v>877</v>
      </c>
      <c r="K100" s="6">
        <v>168480</v>
      </c>
      <c r="L100" s="6">
        <f>N100*0.2</f>
        <v>42120.200000000004</v>
      </c>
      <c r="M100" s="6">
        <v>0</v>
      </c>
      <c r="N100" s="6">
        <v>210601</v>
      </c>
      <c r="O100" s="184" t="s">
        <v>4137</v>
      </c>
      <c r="P100" s="176" t="s">
        <v>4136</v>
      </c>
      <c r="Q100" t="s">
        <v>4140</v>
      </c>
      <c r="R100" t="s">
        <v>4134</v>
      </c>
      <c r="S100" s="178">
        <v>42446</v>
      </c>
      <c r="U100" t="s">
        <v>1775</v>
      </c>
      <c r="V100" s="178" t="s">
        <v>2571</v>
      </c>
      <c r="W100" s="178">
        <v>42446</v>
      </c>
      <c r="X100" s="6">
        <v>168480</v>
      </c>
      <c r="Y100" s="6">
        <f t="shared" si="11"/>
        <v>0</v>
      </c>
    </row>
    <row r="101" spans="1:26" x14ac:dyDescent="0.25">
      <c r="A101" s="176" t="s">
        <v>4139</v>
      </c>
      <c r="B101" t="s">
        <v>18</v>
      </c>
      <c r="C101" t="s">
        <v>2831</v>
      </c>
      <c r="D101" t="s">
        <v>343</v>
      </c>
      <c r="E101" t="s">
        <v>979</v>
      </c>
      <c r="F101" s="4" t="s">
        <v>4138</v>
      </c>
      <c r="G101" t="s">
        <v>72</v>
      </c>
      <c r="H101" s="4" t="s">
        <v>123</v>
      </c>
      <c r="I101" t="s">
        <v>2581</v>
      </c>
      <c r="J101" t="s">
        <v>877</v>
      </c>
      <c r="K101" s="6">
        <v>2096908</v>
      </c>
      <c r="L101" s="6">
        <f>N101*0.2</f>
        <v>524227</v>
      </c>
      <c r="M101" s="6">
        <f>N101-(K101+L101)</f>
        <v>0</v>
      </c>
      <c r="N101" s="6">
        <v>2621135</v>
      </c>
      <c r="O101" s="184" t="s">
        <v>4137</v>
      </c>
      <c r="P101" s="176" t="s">
        <v>4136</v>
      </c>
      <c r="Q101" t="s">
        <v>4135</v>
      </c>
      <c r="R101" t="s">
        <v>4134</v>
      </c>
      <c r="S101" s="178">
        <v>42446</v>
      </c>
      <c r="T101" s="178">
        <v>42482</v>
      </c>
      <c r="U101" t="s">
        <v>1775</v>
      </c>
      <c r="V101" s="178" t="s">
        <v>2571</v>
      </c>
      <c r="W101" s="178">
        <v>42446</v>
      </c>
      <c r="X101" s="6">
        <v>2096908</v>
      </c>
      <c r="Y101" s="6">
        <f t="shared" si="11"/>
        <v>0</v>
      </c>
    </row>
    <row r="102" spans="1:26" x14ac:dyDescent="0.25">
      <c r="A102" s="176" t="s">
        <v>2832</v>
      </c>
      <c r="B102" t="s">
        <v>18</v>
      </c>
      <c r="C102" t="s">
        <v>2831</v>
      </c>
      <c r="D102" s="4" t="s">
        <v>915</v>
      </c>
      <c r="E102" s="4" t="s">
        <v>41</v>
      </c>
      <c r="F102" s="4" t="s">
        <v>2830</v>
      </c>
      <c r="G102" s="4" t="s">
        <v>177</v>
      </c>
      <c r="H102" s="4" t="s">
        <v>178</v>
      </c>
      <c r="I102" s="4" t="s">
        <v>2581</v>
      </c>
      <c r="J102" s="4" t="s">
        <v>877</v>
      </c>
      <c r="K102" s="6">
        <v>190400</v>
      </c>
      <c r="L102" s="6">
        <f>N102*0.2</f>
        <v>47600</v>
      </c>
      <c r="M102" s="6">
        <f>N102-(K102+L102)</f>
        <v>0</v>
      </c>
      <c r="N102" s="6">
        <v>238000</v>
      </c>
      <c r="O102" s="184" t="s">
        <v>2828</v>
      </c>
      <c r="P102" s="176" t="s">
        <v>2827</v>
      </c>
      <c r="Q102" t="s">
        <v>2833</v>
      </c>
      <c r="R102" t="s">
        <v>2825</v>
      </c>
      <c r="S102" s="178">
        <v>42626</v>
      </c>
      <c r="U102" t="s">
        <v>1775</v>
      </c>
      <c r="V102" t="s">
        <v>2571</v>
      </c>
      <c r="W102" s="178">
        <v>42626</v>
      </c>
      <c r="X102" s="6">
        <v>190400</v>
      </c>
      <c r="Y102" s="6">
        <f t="shared" si="11"/>
        <v>0</v>
      </c>
    </row>
    <row r="103" spans="1:26" x14ac:dyDescent="0.25">
      <c r="A103" s="176" t="s">
        <v>2832</v>
      </c>
      <c r="B103" t="s">
        <v>18</v>
      </c>
      <c r="C103" t="s">
        <v>2831</v>
      </c>
      <c r="D103" s="4" t="s">
        <v>915</v>
      </c>
      <c r="E103" s="4" t="s">
        <v>41</v>
      </c>
      <c r="F103" s="4" t="s">
        <v>2830</v>
      </c>
      <c r="G103" s="4" t="s">
        <v>72</v>
      </c>
      <c r="H103" s="4" t="s">
        <v>2829</v>
      </c>
      <c r="I103" s="4" t="s">
        <v>2581</v>
      </c>
      <c r="J103" s="4" t="s">
        <v>877</v>
      </c>
      <c r="K103" s="6">
        <v>1720000</v>
      </c>
      <c r="L103" s="6">
        <v>430000</v>
      </c>
      <c r="M103" s="6">
        <f>N103-(K103+L103)</f>
        <v>17670</v>
      </c>
      <c r="N103" s="6">
        <f>2150000+17670</f>
        <v>2167670</v>
      </c>
      <c r="O103" s="184" t="s">
        <v>2828</v>
      </c>
      <c r="P103" s="176" t="s">
        <v>2827</v>
      </c>
      <c r="Q103" t="s">
        <v>2826</v>
      </c>
      <c r="R103" t="s">
        <v>2825</v>
      </c>
      <c r="S103" s="178">
        <v>42626</v>
      </c>
      <c r="T103" s="178">
        <v>42678</v>
      </c>
      <c r="U103" t="s">
        <v>1775</v>
      </c>
      <c r="V103" t="s">
        <v>2571</v>
      </c>
      <c r="W103" s="178">
        <v>42626</v>
      </c>
      <c r="X103" s="6">
        <v>1720000</v>
      </c>
      <c r="Y103" s="6">
        <f t="shared" si="11"/>
        <v>0</v>
      </c>
    </row>
    <row r="104" spans="1:26" x14ac:dyDescent="0.25">
      <c r="A104" s="176" t="s">
        <v>4303</v>
      </c>
      <c r="B104" t="s">
        <v>18</v>
      </c>
      <c r="C104" t="s">
        <v>2831</v>
      </c>
      <c r="D104" t="s">
        <v>915</v>
      </c>
      <c r="E104" t="s">
        <v>4302</v>
      </c>
      <c r="F104" t="s">
        <v>4301</v>
      </c>
      <c r="G104" t="s">
        <v>212</v>
      </c>
      <c r="H104" s="4" t="s">
        <v>213</v>
      </c>
      <c r="I104" t="s">
        <v>2581</v>
      </c>
      <c r="J104" t="s">
        <v>877</v>
      </c>
      <c r="K104" s="6">
        <v>253145</v>
      </c>
      <c r="L104" s="6">
        <f>N104*0.2</f>
        <v>101258</v>
      </c>
      <c r="M104" s="6">
        <f>N104-(K104+L104)</f>
        <v>151887</v>
      </c>
      <c r="N104" s="6">
        <v>506290</v>
      </c>
      <c r="O104" s="184" t="s">
        <v>4591</v>
      </c>
      <c r="P104" s="176" t="s">
        <v>4590</v>
      </c>
      <c r="Q104" t="s">
        <v>4589</v>
      </c>
      <c r="R104" t="s">
        <v>4297</v>
      </c>
      <c r="S104" s="178">
        <v>42317</v>
      </c>
      <c r="U104" s="186" t="s">
        <v>1775</v>
      </c>
      <c r="V104" s="178" t="s">
        <v>2571</v>
      </c>
      <c r="W104" s="178">
        <v>42317</v>
      </c>
      <c r="X104" s="6">
        <v>253145</v>
      </c>
      <c r="Y104" s="6">
        <f t="shared" si="11"/>
        <v>0</v>
      </c>
    </row>
    <row r="105" spans="1:26" x14ac:dyDescent="0.25">
      <c r="A105" s="176" t="s">
        <v>4303</v>
      </c>
      <c r="B105" t="s">
        <v>18</v>
      </c>
      <c r="C105" t="s">
        <v>2831</v>
      </c>
      <c r="D105" t="s">
        <v>915</v>
      </c>
      <c r="E105" t="s">
        <v>4302</v>
      </c>
      <c r="F105" t="s">
        <v>4301</v>
      </c>
      <c r="G105" t="s">
        <v>212</v>
      </c>
      <c r="H105" s="4" t="s">
        <v>213</v>
      </c>
      <c r="I105" t="s">
        <v>2581</v>
      </c>
      <c r="J105" t="s">
        <v>877</v>
      </c>
      <c r="K105" s="6">
        <v>324963</v>
      </c>
      <c r="L105" s="6">
        <f>N105*0.5</f>
        <v>324962.5</v>
      </c>
      <c r="M105" s="6">
        <v>0</v>
      </c>
      <c r="N105" s="6">
        <v>649925</v>
      </c>
      <c r="O105" s="184" t="s">
        <v>4300</v>
      </c>
      <c r="P105" s="176" t="s">
        <v>4299</v>
      </c>
      <c r="Q105" t="s">
        <v>4298</v>
      </c>
      <c r="R105" t="s">
        <v>4297</v>
      </c>
      <c r="S105" s="178">
        <v>42411</v>
      </c>
      <c r="U105" t="s">
        <v>1775</v>
      </c>
      <c r="V105" s="178" t="s">
        <v>2571</v>
      </c>
      <c r="W105" s="178">
        <v>42411</v>
      </c>
      <c r="X105" s="6">
        <v>324963</v>
      </c>
      <c r="Y105" s="6">
        <f t="shared" si="11"/>
        <v>0</v>
      </c>
    </row>
    <row r="106" spans="1:26" x14ac:dyDescent="0.25">
      <c r="A106" s="176" t="s">
        <v>3085</v>
      </c>
      <c r="B106" t="s">
        <v>18</v>
      </c>
      <c r="C106" t="s">
        <v>2831</v>
      </c>
      <c r="D106" t="s">
        <v>364</v>
      </c>
      <c r="E106" t="s">
        <v>361</v>
      </c>
      <c r="F106" t="s">
        <v>3084</v>
      </c>
      <c r="G106" t="s">
        <v>212</v>
      </c>
      <c r="H106" s="4" t="s">
        <v>213</v>
      </c>
      <c r="I106" t="s">
        <v>2581</v>
      </c>
      <c r="J106" t="s">
        <v>877</v>
      </c>
      <c r="K106" s="6">
        <v>30000</v>
      </c>
      <c r="L106" s="6">
        <f t="shared" ref="L106:L111" si="13">N106*0.2</f>
        <v>11436.6</v>
      </c>
      <c r="M106" s="6">
        <f t="shared" ref="M106:M112" si="14">N106-(K106+L106)</f>
        <v>15746.400000000001</v>
      </c>
      <c r="N106" s="6">
        <v>57183</v>
      </c>
      <c r="O106" s="184" t="s">
        <v>4455</v>
      </c>
      <c r="P106" s="176" t="s">
        <v>4454</v>
      </c>
      <c r="Q106" t="s">
        <v>4453</v>
      </c>
      <c r="R106" t="s">
        <v>3079</v>
      </c>
      <c r="S106" s="178">
        <v>42348</v>
      </c>
      <c r="U106" t="s">
        <v>1775</v>
      </c>
      <c r="V106" s="178" t="s">
        <v>2571</v>
      </c>
      <c r="W106" s="178">
        <v>42348</v>
      </c>
      <c r="X106" s="6">
        <v>30000</v>
      </c>
      <c r="Y106" s="6">
        <f t="shared" si="11"/>
        <v>0</v>
      </c>
    </row>
    <row r="107" spans="1:26" x14ac:dyDescent="0.25">
      <c r="A107" s="176" t="s">
        <v>3085</v>
      </c>
      <c r="B107" t="s">
        <v>18</v>
      </c>
      <c r="C107" t="s">
        <v>2831</v>
      </c>
      <c r="D107" t="s">
        <v>364</v>
      </c>
      <c r="E107" t="s">
        <v>361</v>
      </c>
      <c r="F107" t="s">
        <v>3084</v>
      </c>
      <c r="G107" t="s">
        <v>177</v>
      </c>
      <c r="H107" s="4" t="s">
        <v>178</v>
      </c>
      <c r="I107" t="s">
        <v>2581</v>
      </c>
      <c r="J107" t="s">
        <v>877</v>
      </c>
      <c r="K107" s="6">
        <v>40000</v>
      </c>
      <c r="L107" s="6">
        <f t="shared" si="13"/>
        <v>10000</v>
      </c>
      <c r="M107" s="6">
        <f t="shared" si="14"/>
        <v>0</v>
      </c>
      <c r="N107" s="6">
        <v>50000</v>
      </c>
      <c r="O107" s="184" t="s">
        <v>3082</v>
      </c>
      <c r="P107" s="176" t="s">
        <v>3081</v>
      </c>
      <c r="Q107" t="s">
        <v>3086</v>
      </c>
      <c r="R107" t="s">
        <v>3079</v>
      </c>
      <c r="S107" s="178">
        <v>42592</v>
      </c>
      <c r="U107" t="s">
        <v>1775</v>
      </c>
      <c r="V107" s="178" t="s">
        <v>2571</v>
      </c>
      <c r="W107" s="178">
        <v>42592</v>
      </c>
      <c r="X107" s="6">
        <v>40000</v>
      </c>
      <c r="Y107" s="6">
        <f t="shared" si="11"/>
        <v>0</v>
      </c>
    </row>
    <row r="108" spans="1:26" ht="30" x14ac:dyDescent="0.25">
      <c r="A108" s="176" t="s">
        <v>3085</v>
      </c>
      <c r="B108" t="s">
        <v>18</v>
      </c>
      <c r="C108" t="s">
        <v>2831</v>
      </c>
      <c r="D108" t="s">
        <v>364</v>
      </c>
      <c r="E108" t="s">
        <v>361</v>
      </c>
      <c r="F108" t="s">
        <v>3084</v>
      </c>
      <c r="G108" t="s">
        <v>72</v>
      </c>
      <c r="H108" s="4" t="s">
        <v>3083</v>
      </c>
      <c r="I108" t="s">
        <v>2581</v>
      </c>
      <c r="J108" t="s">
        <v>877</v>
      </c>
      <c r="K108" s="6">
        <v>795233</v>
      </c>
      <c r="L108" s="6">
        <f t="shared" si="13"/>
        <v>198808.6</v>
      </c>
      <c r="M108" s="6">
        <f t="shared" si="14"/>
        <v>1.4000000000232831</v>
      </c>
      <c r="N108" s="6">
        <v>994043</v>
      </c>
      <c r="O108" s="184" t="s">
        <v>3082</v>
      </c>
      <c r="P108" s="176" t="s">
        <v>3081</v>
      </c>
      <c r="Q108" t="s">
        <v>3080</v>
      </c>
      <c r="R108" t="s">
        <v>3079</v>
      </c>
      <c r="S108" s="178">
        <v>42592</v>
      </c>
      <c r="T108" s="178">
        <v>42629</v>
      </c>
      <c r="U108" t="s">
        <v>1775</v>
      </c>
      <c r="V108" s="178" t="s">
        <v>2571</v>
      </c>
      <c r="W108" s="178">
        <v>42592</v>
      </c>
      <c r="X108" s="6">
        <v>795233</v>
      </c>
      <c r="Y108" s="6">
        <f t="shared" si="11"/>
        <v>0</v>
      </c>
    </row>
    <row r="109" spans="1:26" x14ac:dyDescent="0.25">
      <c r="A109" s="176" t="s">
        <v>4588</v>
      </c>
      <c r="B109" t="s">
        <v>18</v>
      </c>
      <c r="C109" t="s">
        <v>2831</v>
      </c>
      <c r="D109" t="s">
        <v>946</v>
      </c>
      <c r="E109" t="s">
        <v>4587</v>
      </c>
      <c r="F109" t="s">
        <v>4586</v>
      </c>
      <c r="G109" t="s">
        <v>117</v>
      </c>
      <c r="H109" s="4" t="s">
        <v>119</v>
      </c>
      <c r="I109" t="s">
        <v>1277</v>
      </c>
      <c r="J109" t="s">
        <v>882</v>
      </c>
      <c r="K109" s="6">
        <v>62330</v>
      </c>
      <c r="L109" s="6">
        <f t="shared" si="13"/>
        <v>15582.400000000001</v>
      </c>
      <c r="M109" s="6">
        <f t="shared" si="14"/>
        <v>-0.39999999999417923</v>
      </c>
      <c r="N109" s="6">
        <v>77912</v>
      </c>
      <c r="O109" s="184" t="s">
        <v>4585</v>
      </c>
      <c r="P109" s="176" t="s">
        <v>4584</v>
      </c>
      <c r="Q109" t="s">
        <v>4583</v>
      </c>
      <c r="R109" t="s">
        <v>4582</v>
      </c>
      <c r="S109" s="178">
        <v>42317</v>
      </c>
      <c r="U109" s="186" t="s">
        <v>1775</v>
      </c>
      <c r="V109" s="178" t="s">
        <v>2571</v>
      </c>
      <c r="W109" s="178">
        <v>42317</v>
      </c>
      <c r="X109" s="6">
        <v>62330</v>
      </c>
      <c r="Y109" s="6">
        <f t="shared" si="11"/>
        <v>0</v>
      </c>
    </row>
    <row r="110" spans="1:26" ht="30" x14ac:dyDescent="0.25">
      <c r="A110" s="176" t="s">
        <v>3533</v>
      </c>
      <c r="B110" t="s">
        <v>18</v>
      </c>
      <c r="C110" t="s">
        <v>2831</v>
      </c>
      <c r="D110" t="s">
        <v>360</v>
      </c>
      <c r="E110" s="4" t="s">
        <v>3532</v>
      </c>
      <c r="F110" s="4" t="s">
        <v>3531</v>
      </c>
      <c r="G110" t="s">
        <v>177</v>
      </c>
      <c r="H110" s="4" t="s">
        <v>178</v>
      </c>
      <c r="I110" t="s">
        <v>2581</v>
      </c>
      <c r="J110" t="s">
        <v>877</v>
      </c>
      <c r="K110" s="6">
        <v>80000</v>
      </c>
      <c r="L110" s="6">
        <f t="shared" si="13"/>
        <v>20000</v>
      </c>
      <c r="M110" s="6">
        <f t="shared" si="14"/>
        <v>0</v>
      </c>
      <c r="N110" s="6">
        <v>100000</v>
      </c>
      <c r="O110" s="184" t="s">
        <v>3530</v>
      </c>
      <c r="P110" s="176" t="s">
        <v>3529</v>
      </c>
      <c r="Q110" t="s">
        <v>3534</v>
      </c>
      <c r="R110" t="s">
        <v>3527</v>
      </c>
      <c r="S110" s="178">
        <v>42430</v>
      </c>
      <c r="U110" t="s">
        <v>1775</v>
      </c>
      <c r="V110" s="178" t="s">
        <v>2604</v>
      </c>
      <c r="W110" s="178">
        <v>42549</v>
      </c>
      <c r="X110" s="6">
        <v>80000</v>
      </c>
      <c r="Y110" s="6">
        <f t="shared" si="11"/>
        <v>0</v>
      </c>
    </row>
    <row r="111" spans="1:26" ht="30" x14ac:dyDescent="0.25">
      <c r="A111" s="176" t="s">
        <v>3533</v>
      </c>
      <c r="B111" t="s">
        <v>18</v>
      </c>
      <c r="C111" t="s">
        <v>2831</v>
      </c>
      <c r="D111" t="s">
        <v>360</v>
      </c>
      <c r="E111" s="4" t="s">
        <v>3532</v>
      </c>
      <c r="F111" s="4" t="s">
        <v>3531</v>
      </c>
      <c r="G111" t="s">
        <v>72</v>
      </c>
      <c r="H111" s="4" t="s">
        <v>2609</v>
      </c>
      <c r="I111" t="s">
        <v>2581</v>
      </c>
      <c r="J111" t="s">
        <v>877</v>
      </c>
      <c r="K111" s="6">
        <f>1213379+6320</f>
        <v>1219699</v>
      </c>
      <c r="L111" s="6">
        <f t="shared" si="13"/>
        <v>304924.79999999999</v>
      </c>
      <c r="M111" s="6">
        <f t="shared" si="14"/>
        <v>0.19999999995343387</v>
      </c>
      <c r="N111" s="6">
        <f>1516724+7900</f>
        <v>1524624</v>
      </c>
      <c r="O111" s="184" t="s">
        <v>3530</v>
      </c>
      <c r="P111" s="176" t="s">
        <v>3529</v>
      </c>
      <c r="Q111" t="s">
        <v>3528</v>
      </c>
      <c r="R111" t="s">
        <v>3527</v>
      </c>
      <c r="S111" s="178">
        <v>42430</v>
      </c>
      <c r="T111" s="178">
        <v>42482</v>
      </c>
      <c r="U111" t="s">
        <v>1775</v>
      </c>
      <c r="V111" s="178" t="s">
        <v>2604</v>
      </c>
      <c r="W111" s="178">
        <v>42549</v>
      </c>
      <c r="X111" s="6">
        <v>1520000</v>
      </c>
      <c r="Y111" s="6">
        <f t="shared" si="11"/>
        <v>-300301</v>
      </c>
    </row>
    <row r="112" spans="1:26" x14ac:dyDescent="0.25">
      <c r="A112" s="176" t="s">
        <v>3789</v>
      </c>
      <c r="B112" t="s">
        <v>18</v>
      </c>
      <c r="C112" s="61" t="s">
        <v>2613</v>
      </c>
      <c r="D112" s="61" t="s">
        <v>915</v>
      </c>
      <c r="E112" s="61" t="s">
        <v>3788</v>
      </c>
      <c r="F112" s="15" t="s">
        <v>3787</v>
      </c>
      <c r="G112" s="61" t="s">
        <v>212</v>
      </c>
      <c r="H112" s="4" t="s">
        <v>213</v>
      </c>
      <c r="I112" s="4" t="s">
        <v>2715</v>
      </c>
      <c r="J112" s="4" t="s">
        <v>913</v>
      </c>
      <c r="K112" s="6">
        <v>78429</v>
      </c>
      <c r="L112" s="6">
        <f>K112*1.25-K112</f>
        <v>19607.25</v>
      </c>
      <c r="M112" s="6">
        <f t="shared" si="14"/>
        <v>-0.25</v>
      </c>
      <c r="N112" s="6">
        <v>98036</v>
      </c>
      <c r="O112" s="184" t="s">
        <v>3786</v>
      </c>
      <c r="P112" s="176" t="s">
        <v>3785</v>
      </c>
      <c r="Q112" s="21" t="s">
        <v>3784</v>
      </c>
      <c r="R112" t="s">
        <v>3783</v>
      </c>
      <c r="S112" s="178">
        <v>42530</v>
      </c>
      <c r="U112" s="186" t="s">
        <v>1775</v>
      </c>
      <c r="V112" s="178" t="s">
        <v>2571</v>
      </c>
      <c r="W112" s="178">
        <v>42530</v>
      </c>
      <c r="X112" s="6">
        <v>78429</v>
      </c>
      <c r="Y112" s="6">
        <f t="shared" si="11"/>
        <v>0</v>
      </c>
    </row>
    <row r="113" spans="1:26" ht="30" x14ac:dyDescent="0.25">
      <c r="A113" s="176" t="s">
        <v>4016</v>
      </c>
      <c r="B113" t="s">
        <v>18</v>
      </c>
      <c r="C113" t="s">
        <v>2831</v>
      </c>
      <c r="D113" t="s">
        <v>946</v>
      </c>
      <c r="E113" s="4" t="s">
        <v>4015</v>
      </c>
      <c r="F113" s="4" t="s">
        <v>4014</v>
      </c>
      <c r="G113" t="s">
        <v>177</v>
      </c>
      <c r="H113" s="4" t="s">
        <v>178</v>
      </c>
      <c r="I113" t="s">
        <v>2581</v>
      </c>
      <c r="J113" t="s">
        <v>877</v>
      </c>
      <c r="K113" s="6">
        <v>151292</v>
      </c>
      <c r="L113" s="6">
        <f>N113*0.2</f>
        <v>37823.200000000004</v>
      </c>
      <c r="M113" s="6">
        <v>0</v>
      </c>
      <c r="N113" s="6">
        <v>189116</v>
      </c>
      <c r="O113" s="184" t="s">
        <v>4013</v>
      </c>
      <c r="P113" s="176" t="s">
        <v>4012</v>
      </c>
      <c r="Q113" t="s">
        <v>4017</v>
      </c>
      <c r="R113" t="s">
        <v>3585</v>
      </c>
      <c r="S113" s="178">
        <v>42485</v>
      </c>
      <c r="U113" t="s">
        <v>1775</v>
      </c>
      <c r="V113" s="178" t="s">
        <v>2571</v>
      </c>
      <c r="W113" s="178">
        <v>42485</v>
      </c>
      <c r="X113" s="6">
        <v>151292</v>
      </c>
      <c r="Y113" s="6">
        <f t="shared" si="11"/>
        <v>0</v>
      </c>
    </row>
    <row r="114" spans="1:26" ht="30" x14ac:dyDescent="0.25">
      <c r="A114" s="176" t="s">
        <v>4016</v>
      </c>
      <c r="B114" t="s">
        <v>18</v>
      </c>
      <c r="C114" t="s">
        <v>2831</v>
      </c>
      <c r="D114" t="s">
        <v>946</v>
      </c>
      <c r="E114" s="4" t="s">
        <v>4015</v>
      </c>
      <c r="F114" s="4" t="s">
        <v>4014</v>
      </c>
      <c r="G114" t="s">
        <v>72</v>
      </c>
      <c r="H114" s="4" t="s">
        <v>2609</v>
      </c>
      <c r="I114" t="s">
        <v>2581</v>
      </c>
      <c r="J114" t="s">
        <v>877</v>
      </c>
      <c r="K114" s="6">
        <v>1544734</v>
      </c>
      <c r="L114" s="6">
        <f>K114*1.25-K114</f>
        <v>386183.5</v>
      </c>
      <c r="M114" s="6">
        <f t="shared" ref="M114:M137" si="15">N114-(K114+L114)</f>
        <v>30926.5</v>
      </c>
      <c r="N114" s="6">
        <f>1930919+30925</f>
        <v>1961844</v>
      </c>
      <c r="O114" s="184" t="s">
        <v>4013</v>
      </c>
      <c r="P114" s="176" t="s">
        <v>4012</v>
      </c>
      <c r="Q114" t="s">
        <v>4011</v>
      </c>
      <c r="R114" t="s">
        <v>3585</v>
      </c>
      <c r="S114" s="178">
        <v>42485</v>
      </c>
      <c r="U114" t="s">
        <v>1775</v>
      </c>
      <c r="V114" s="178" t="s">
        <v>2571</v>
      </c>
      <c r="W114" s="178">
        <v>42485</v>
      </c>
      <c r="X114" s="6">
        <v>1544734</v>
      </c>
      <c r="Y114" s="6">
        <f t="shared" si="11"/>
        <v>0</v>
      </c>
    </row>
    <row r="115" spans="1:26" x14ac:dyDescent="0.25">
      <c r="A115" s="188" t="s">
        <v>3664</v>
      </c>
      <c r="B115" t="s">
        <v>18</v>
      </c>
      <c r="C115" s="61" t="s">
        <v>2831</v>
      </c>
      <c r="D115" s="61" t="s">
        <v>351</v>
      </c>
      <c r="E115" s="61" t="s">
        <v>3663</v>
      </c>
      <c r="F115" s="15" t="s">
        <v>3662</v>
      </c>
      <c r="G115" s="61" t="s">
        <v>177</v>
      </c>
      <c r="H115" s="4" t="s">
        <v>178</v>
      </c>
      <c r="I115" s="4" t="s">
        <v>2581</v>
      </c>
      <c r="J115" s="4" t="s">
        <v>877</v>
      </c>
      <c r="K115" s="6">
        <v>80640</v>
      </c>
      <c r="L115" s="6">
        <f>K115*1.25-K115</f>
        <v>20160</v>
      </c>
      <c r="M115" s="6">
        <f t="shared" si="15"/>
        <v>0</v>
      </c>
      <c r="N115" s="6">
        <v>100800</v>
      </c>
      <c r="O115" s="184" t="s">
        <v>3661</v>
      </c>
      <c r="P115" s="176" t="s">
        <v>3660</v>
      </c>
      <c r="Q115" s="21" t="s">
        <v>3665</v>
      </c>
      <c r="R115" t="s">
        <v>3658</v>
      </c>
      <c r="S115" s="178">
        <v>42542</v>
      </c>
      <c r="U115" s="186" t="s">
        <v>1775</v>
      </c>
      <c r="V115" s="178" t="s">
        <v>2571</v>
      </c>
      <c r="W115" s="178">
        <v>42542</v>
      </c>
      <c r="X115" s="6">
        <v>80640</v>
      </c>
      <c r="Y115" s="6">
        <f t="shared" si="11"/>
        <v>0</v>
      </c>
      <c r="Z115" s="61"/>
    </row>
    <row r="116" spans="1:26" x14ac:dyDescent="0.25">
      <c r="A116" s="188" t="s">
        <v>3664</v>
      </c>
      <c r="B116" t="s">
        <v>18</v>
      </c>
      <c r="C116" s="61" t="s">
        <v>2831</v>
      </c>
      <c r="D116" s="61" t="s">
        <v>351</v>
      </c>
      <c r="E116" s="61" t="s">
        <v>3663</v>
      </c>
      <c r="F116" s="15" t="s">
        <v>3662</v>
      </c>
      <c r="G116" s="61" t="s">
        <v>72</v>
      </c>
      <c r="H116" s="4" t="s">
        <v>2609</v>
      </c>
      <c r="I116" s="4" t="s">
        <v>2581</v>
      </c>
      <c r="J116" s="4" t="s">
        <v>877</v>
      </c>
      <c r="K116" s="6">
        <v>713583</v>
      </c>
      <c r="L116" s="6">
        <f>K116*1.25-K116</f>
        <v>178395.75</v>
      </c>
      <c r="M116" s="6">
        <f t="shared" si="15"/>
        <v>0.25</v>
      </c>
      <c r="N116" s="6">
        <v>891979</v>
      </c>
      <c r="O116" s="184" t="s">
        <v>3661</v>
      </c>
      <c r="P116" s="176" t="s">
        <v>3660</v>
      </c>
      <c r="Q116" s="21" t="s">
        <v>3659</v>
      </c>
      <c r="R116" t="s">
        <v>3658</v>
      </c>
      <c r="S116" s="178">
        <v>42542</v>
      </c>
      <c r="U116" s="186" t="s">
        <v>1775</v>
      </c>
      <c r="V116" s="178" t="s">
        <v>2571</v>
      </c>
      <c r="W116" s="178">
        <v>42542</v>
      </c>
      <c r="X116" s="6">
        <v>713583</v>
      </c>
      <c r="Y116" s="6">
        <f t="shared" si="11"/>
        <v>0</v>
      </c>
      <c r="Z116" s="61"/>
    </row>
    <row r="117" spans="1:26" ht="30" x14ac:dyDescent="0.25">
      <c r="A117" s="176" t="s">
        <v>4155</v>
      </c>
      <c r="B117" t="s">
        <v>18</v>
      </c>
      <c r="C117" t="s">
        <v>2831</v>
      </c>
      <c r="D117" t="s">
        <v>915</v>
      </c>
      <c r="E117" s="4" t="s">
        <v>4154</v>
      </c>
      <c r="F117" s="4" t="s">
        <v>4153</v>
      </c>
      <c r="G117" t="s">
        <v>177</v>
      </c>
      <c r="H117" s="4" t="s">
        <v>178</v>
      </c>
      <c r="I117" t="s">
        <v>2581</v>
      </c>
      <c r="J117" t="s">
        <v>877</v>
      </c>
      <c r="K117" s="6">
        <v>220000</v>
      </c>
      <c r="L117" s="6">
        <f>N117*0.2</f>
        <v>55000</v>
      </c>
      <c r="M117" s="6">
        <f t="shared" si="15"/>
        <v>0</v>
      </c>
      <c r="N117" s="6">
        <v>275000</v>
      </c>
      <c r="O117" s="184" t="s">
        <v>4152</v>
      </c>
      <c r="P117" s="176" t="s">
        <v>4151</v>
      </c>
      <c r="Q117" t="s">
        <v>4156</v>
      </c>
      <c r="R117" t="s">
        <v>4149</v>
      </c>
      <c r="S117" s="178">
        <v>42443</v>
      </c>
      <c r="U117" t="s">
        <v>1775</v>
      </c>
      <c r="V117" s="178" t="s">
        <v>2571</v>
      </c>
      <c r="W117" s="178">
        <v>42443</v>
      </c>
      <c r="X117" s="6">
        <v>220000</v>
      </c>
      <c r="Y117" s="6">
        <f t="shared" si="11"/>
        <v>0</v>
      </c>
    </row>
    <row r="118" spans="1:26" ht="30" x14ac:dyDescent="0.25">
      <c r="A118" s="176" t="s">
        <v>4155</v>
      </c>
      <c r="B118" t="s">
        <v>18</v>
      </c>
      <c r="C118" t="s">
        <v>2831</v>
      </c>
      <c r="D118" t="s">
        <v>915</v>
      </c>
      <c r="E118" s="4" t="s">
        <v>4154</v>
      </c>
      <c r="F118" s="4" t="s">
        <v>4153</v>
      </c>
      <c r="G118" t="s">
        <v>72</v>
      </c>
      <c r="H118" s="4" t="s">
        <v>2609</v>
      </c>
      <c r="I118" t="s">
        <v>2581</v>
      </c>
      <c r="J118" t="s">
        <v>877</v>
      </c>
      <c r="K118" s="6">
        <v>1780000</v>
      </c>
      <c r="L118" s="6">
        <f>N118*0.2</f>
        <v>445000</v>
      </c>
      <c r="M118" s="6">
        <f t="shared" si="15"/>
        <v>0</v>
      </c>
      <c r="N118" s="6">
        <v>2225000</v>
      </c>
      <c r="O118" s="184" t="s">
        <v>4152</v>
      </c>
      <c r="P118" s="176" t="s">
        <v>4151</v>
      </c>
      <c r="Q118" t="s">
        <v>4150</v>
      </c>
      <c r="R118" t="s">
        <v>4149</v>
      </c>
      <c r="S118" s="178">
        <v>42443</v>
      </c>
      <c r="T118" s="178">
        <v>42482</v>
      </c>
      <c r="U118" t="s">
        <v>1775</v>
      </c>
      <c r="V118" s="178" t="s">
        <v>2571</v>
      </c>
      <c r="W118" s="178">
        <v>42443</v>
      </c>
      <c r="X118" s="6">
        <v>1780000</v>
      </c>
      <c r="Y118" s="6">
        <f t="shared" si="11"/>
        <v>0</v>
      </c>
    </row>
    <row r="119" spans="1:26" ht="30" x14ac:dyDescent="0.25">
      <c r="A119" s="176" t="s">
        <v>3014</v>
      </c>
      <c r="B119" t="s">
        <v>18</v>
      </c>
      <c r="C119" t="s">
        <v>2831</v>
      </c>
      <c r="D119" t="s">
        <v>915</v>
      </c>
      <c r="E119" s="4" t="s">
        <v>3013</v>
      </c>
      <c r="F119" t="s">
        <v>3012</v>
      </c>
      <c r="G119" t="s">
        <v>212</v>
      </c>
      <c r="H119" s="4" t="s">
        <v>213</v>
      </c>
      <c r="I119" t="s">
        <v>2581</v>
      </c>
      <c r="J119" t="s">
        <v>877</v>
      </c>
      <c r="K119" s="6">
        <v>298465</v>
      </c>
      <c r="L119" s="6">
        <f>N119*0.2</f>
        <v>119386</v>
      </c>
      <c r="M119" s="6">
        <f t="shared" si="15"/>
        <v>179079</v>
      </c>
      <c r="N119" s="6">
        <v>596930</v>
      </c>
      <c r="O119" s="184" t="s">
        <v>3011</v>
      </c>
      <c r="P119" s="176" t="s">
        <v>3010</v>
      </c>
      <c r="Q119" t="s">
        <v>3009</v>
      </c>
      <c r="R119" t="s">
        <v>3008</v>
      </c>
      <c r="S119" s="178">
        <v>42598</v>
      </c>
      <c r="U119" s="61" t="s">
        <v>1775</v>
      </c>
      <c r="V119" s="178" t="s">
        <v>2571</v>
      </c>
      <c r="W119" s="178">
        <v>42598</v>
      </c>
      <c r="X119" s="6">
        <v>298465</v>
      </c>
      <c r="Y119" s="6">
        <f t="shared" si="11"/>
        <v>0</v>
      </c>
    </row>
    <row r="120" spans="1:26" x14ac:dyDescent="0.25">
      <c r="A120" s="188" t="s">
        <v>3639</v>
      </c>
      <c r="B120" t="s">
        <v>18</v>
      </c>
      <c r="C120" s="61" t="s">
        <v>2831</v>
      </c>
      <c r="D120" s="61" t="s">
        <v>3638</v>
      </c>
      <c r="E120" s="15" t="s">
        <v>3637</v>
      </c>
      <c r="F120" s="15" t="s">
        <v>3636</v>
      </c>
      <c r="G120" s="61" t="s">
        <v>177</v>
      </c>
      <c r="H120" s="4" t="s">
        <v>178</v>
      </c>
      <c r="I120" s="4" t="s">
        <v>2581</v>
      </c>
      <c r="J120" s="4" t="s">
        <v>877</v>
      </c>
      <c r="K120" s="6">
        <v>35200</v>
      </c>
      <c r="L120" s="6">
        <f>K120*1.25-K120</f>
        <v>8800</v>
      </c>
      <c r="M120" s="6">
        <f t="shared" si="15"/>
        <v>0</v>
      </c>
      <c r="N120" s="6">
        <v>44000</v>
      </c>
      <c r="O120" s="184" t="s">
        <v>3635</v>
      </c>
      <c r="P120" s="176" t="s">
        <v>3634</v>
      </c>
      <c r="Q120" s="21" t="s">
        <v>3640</v>
      </c>
      <c r="R120" t="s">
        <v>3632</v>
      </c>
      <c r="S120" s="178">
        <v>42542</v>
      </c>
      <c r="U120" s="186" t="s">
        <v>1775</v>
      </c>
      <c r="V120" s="178" t="s">
        <v>2571</v>
      </c>
      <c r="W120" s="178">
        <v>42542</v>
      </c>
      <c r="X120" s="6">
        <v>35200</v>
      </c>
      <c r="Y120" s="6">
        <f t="shared" si="11"/>
        <v>0</v>
      </c>
      <c r="Z120" s="61"/>
    </row>
    <row r="121" spans="1:26" x14ac:dyDescent="0.25">
      <c r="A121" s="188" t="s">
        <v>3639</v>
      </c>
      <c r="B121" t="s">
        <v>18</v>
      </c>
      <c r="C121" s="61" t="s">
        <v>2831</v>
      </c>
      <c r="D121" s="61" t="s">
        <v>3638</v>
      </c>
      <c r="E121" s="15" t="s">
        <v>3637</v>
      </c>
      <c r="F121" s="15" t="s">
        <v>3636</v>
      </c>
      <c r="G121" s="61" t="s">
        <v>72</v>
      </c>
      <c r="H121" s="4" t="s">
        <v>2609</v>
      </c>
      <c r="I121" s="4" t="s">
        <v>2581</v>
      </c>
      <c r="J121" s="4" t="s">
        <v>877</v>
      </c>
      <c r="K121" s="6">
        <v>560000</v>
      </c>
      <c r="L121" s="6">
        <f>K121*1.25-K121</f>
        <v>140000</v>
      </c>
      <c r="M121" s="6">
        <f t="shared" si="15"/>
        <v>0</v>
      </c>
      <c r="N121" s="6">
        <v>700000</v>
      </c>
      <c r="O121" s="184" t="s">
        <v>3635</v>
      </c>
      <c r="P121" s="176" t="s">
        <v>3634</v>
      </c>
      <c r="Q121" s="21" t="s">
        <v>3633</v>
      </c>
      <c r="R121" t="s">
        <v>3632</v>
      </c>
      <c r="S121" s="178">
        <v>42542</v>
      </c>
      <c r="T121" s="178">
        <v>42580</v>
      </c>
      <c r="U121" s="186" t="s">
        <v>1775</v>
      </c>
      <c r="V121" s="178" t="s">
        <v>2571</v>
      </c>
      <c r="W121" s="178">
        <v>42542</v>
      </c>
      <c r="X121" s="6">
        <v>560000</v>
      </c>
      <c r="Y121" s="6">
        <f t="shared" si="11"/>
        <v>0</v>
      </c>
      <c r="Z121" s="61"/>
    </row>
    <row r="122" spans="1:26" x14ac:dyDescent="0.25">
      <c r="A122" s="188" t="s">
        <v>372</v>
      </c>
      <c r="B122" t="s">
        <v>90</v>
      </c>
      <c r="C122" s="61" t="s">
        <v>2831</v>
      </c>
      <c r="D122" s="61" t="s">
        <v>239</v>
      </c>
      <c r="E122" s="61" t="s">
        <v>3525</v>
      </c>
      <c r="F122" s="15" t="s">
        <v>3524</v>
      </c>
      <c r="G122" s="61" t="s">
        <v>177</v>
      </c>
      <c r="H122" s="15" t="s">
        <v>178</v>
      </c>
      <c r="I122" s="15" t="s">
        <v>1275</v>
      </c>
      <c r="J122" s="15" t="s">
        <v>873</v>
      </c>
      <c r="K122" s="183">
        <v>1348000</v>
      </c>
      <c r="L122" s="183">
        <f>N122*0.2</f>
        <v>337000</v>
      </c>
      <c r="M122" s="183">
        <f t="shared" si="15"/>
        <v>0</v>
      </c>
      <c r="N122" s="183">
        <v>1685000</v>
      </c>
      <c r="O122" s="189" t="s">
        <v>1954</v>
      </c>
      <c r="P122" s="188" t="s">
        <v>3522</v>
      </c>
      <c r="Q122" s="187" t="s">
        <v>3521</v>
      </c>
      <c r="R122" s="61" t="s">
        <v>3520</v>
      </c>
      <c r="S122" s="185">
        <v>42551</v>
      </c>
      <c r="T122" s="61"/>
      <c r="U122" s="61" t="s">
        <v>1775</v>
      </c>
      <c r="V122" s="185" t="s">
        <v>2571</v>
      </c>
      <c r="W122" s="185">
        <v>42551</v>
      </c>
      <c r="X122" s="183">
        <v>1348000</v>
      </c>
      <c r="Y122" s="183">
        <f t="shared" si="11"/>
        <v>0</v>
      </c>
      <c r="Z122" s="61"/>
    </row>
    <row r="123" spans="1:26" x14ac:dyDescent="0.25">
      <c r="A123" s="188" t="s">
        <v>372</v>
      </c>
      <c r="B123" t="s">
        <v>90</v>
      </c>
      <c r="C123" s="61" t="s">
        <v>2831</v>
      </c>
      <c r="D123" s="61" t="s">
        <v>239</v>
      </c>
      <c r="E123" s="61" t="s">
        <v>3525</v>
      </c>
      <c r="F123" s="15" t="s">
        <v>3524</v>
      </c>
      <c r="G123" s="61" t="s">
        <v>72</v>
      </c>
      <c r="H123" s="15" t="s">
        <v>3526</v>
      </c>
      <c r="I123" s="15" t="s">
        <v>1275</v>
      </c>
      <c r="J123" s="15" t="s">
        <v>873</v>
      </c>
      <c r="K123" s="183">
        <v>3280000</v>
      </c>
      <c r="L123" s="183">
        <f>N123*0.2</f>
        <v>820000</v>
      </c>
      <c r="M123" s="183">
        <f t="shared" si="15"/>
        <v>0</v>
      </c>
      <c r="N123" s="183">
        <v>4100000</v>
      </c>
      <c r="O123" s="189" t="s">
        <v>1954</v>
      </c>
      <c r="P123" s="188" t="s">
        <v>3522</v>
      </c>
      <c r="Q123" s="187" t="s">
        <v>3521</v>
      </c>
      <c r="R123" s="61" t="s">
        <v>3520</v>
      </c>
      <c r="S123" s="185">
        <v>42551</v>
      </c>
      <c r="T123" s="61"/>
      <c r="U123" s="61" t="s">
        <v>1775</v>
      </c>
      <c r="V123" s="185" t="s">
        <v>2571</v>
      </c>
      <c r="W123" s="185">
        <v>42551</v>
      </c>
      <c r="X123" s="183">
        <v>3280000</v>
      </c>
      <c r="Y123" s="183">
        <f t="shared" si="11"/>
        <v>0</v>
      </c>
      <c r="Z123" s="61"/>
    </row>
    <row r="124" spans="1:26" x14ac:dyDescent="0.25">
      <c r="A124" s="188" t="s">
        <v>372</v>
      </c>
      <c r="B124" t="s">
        <v>90</v>
      </c>
      <c r="C124" s="61" t="s">
        <v>2831</v>
      </c>
      <c r="D124" s="61" t="s">
        <v>239</v>
      </c>
      <c r="E124" s="61" t="s">
        <v>3525</v>
      </c>
      <c r="F124" s="15" t="s">
        <v>3524</v>
      </c>
      <c r="G124" s="61" t="s">
        <v>72</v>
      </c>
      <c r="H124" s="4" t="s">
        <v>3523</v>
      </c>
      <c r="I124" s="4" t="s">
        <v>2284</v>
      </c>
      <c r="J124" s="4" t="s">
        <v>889</v>
      </c>
      <c r="K124" s="6">
        <v>8852000</v>
      </c>
      <c r="L124" s="6">
        <f>K124*1.25-K124</f>
        <v>2213000</v>
      </c>
      <c r="M124" s="6">
        <f t="shared" si="15"/>
        <v>0</v>
      </c>
      <c r="N124" s="6">
        <v>11065000</v>
      </c>
      <c r="O124" s="184" t="s">
        <v>1954</v>
      </c>
      <c r="P124" s="176" t="s">
        <v>3522</v>
      </c>
      <c r="Q124" s="21" t="s">
        <v>3521</v>
      </c>
      <c r="R124" t="s">
        <v>3520</v>
      </c>
      <c r="S124" s="178">
        <v>42551</v>
      </c>
      <c r="U124" t="s">
        <v>1775</v>
      </c>
      <c r="V124" s="178" t="s">
        <v>2571</v>
      </c>
      <c r="W124" s="178">
        <v>42551</v>
      </c>
      <c r="X124" s="6">
        <v>8852000</v>
      </c>
      <c r="Y124" s="6">
        <f t="shared" si="11"/>
        <v>0</v>
      </c>
      <c r="Z124" s="61"/>
    </row>
    <row r="125" spans="1:26" ht="30" x14ac:dyDescent="0.25">
      <c r="A125" s="176" t="s">
        <v>4252</v>
      </c>
      <c r="B125" t="s">
        <v>90</v>
      </c>
      <c r="C125" t="s">
        <v>2831</v>
      </c>
      <c r="D125" t="s">
        <v>41</v>
      </c>
      <c r="E125" s="4" t="s">
        <v>4251</v>
      </c>
      <c r="F125" t="s">
        <v>4250</v>
      </c>
      <c r="G125" t="s">
        <v>177</v>
      </c>
      <c r="H125" s="4" t="s">
        <v>178</v>
      </c>
      <c r="I125" t="s">
        <v>4032</v>
      </c>
      <c r="J125" t="s">
        <v>4031</v>
      </c>
      <c r="K125" s="6">
        <v>160000</v>
      </c>
      <c r="L125" s="6">
        <f>N125*0.2</f>
        <v>40000</v>
      </c>
      <c r="M125" s="6">
        <f t="shared" si="15"/>
        <v>0</v>
      </c>
      <c r="N125" s="6">
        <v>200000</v>
      </c>
      <c r="O125" s="184" t="s">
        <v>4248</v>
      </c>
      <c r="P125" s="176" t="s">
        <v>4247</v>
      </c>
      <c r="Q125" t="s">
        <v>4246</v>
      </c>
      <c r="R125" t="s">
        <v>4245</v>
      </c>
      <c r="S125" s="178">
        <v>42431</v>
      </c>
      <c r="U125" t="s">
        <v>1775</v>
      </c>
      <c r="V125" s="178" t="s">
        <v>2571</v>
      </c>
      <c r="W125" s="178">
        <v>42431</v>
      </c>
      <c r="X125" s="6">
        <v>160000</v>
      </c>
      <c r="Y125" s="6">
        <f t="shared" si="11"/>
        <v>0</v>
      </c>
      <c r="Z125" t="s">
        <v>4244</v>
      </c>
    </row>
    <row r="126" spans="1:26" ht="30" x14ac:dyDescent="0.25">
      <c r="A126" s="176" t="s">
        <v>4252</v>
      </c>
      <c r="B126" t="s">
        <v>90</v>
      </c>
      <c r="C126" t="s">
        <v>2831</v>
      </c>
      <c r="D126" t="s">
        <v>41</v>
      </c>
      <c r="E126" s="4" t="s">
        <v>4251</v>
      </c>
      <c r="F126" t="s">
        <v>4250</v>
      </c>
      <c r="G126" t="s">
        <v>72</v>
      </c>
      <c r="H126" s="4" t="s">
        <v>4249</v>
      </c>
      <c r="I126" t="s">
        <v>4032</v>
      </c>
      <c r="J126" t="s">
        <v>4031</v>
      </c>
      <c r="K126" s="6">
        <v>1440000</v>
      </c>
      <c r="L126" s="6">
        <f>N126*0.2</f>
        <v>360000</v>
      </c>
      <c r="M126" s="6">
        <f t="shared" si="15"/>
        <v>0</v>
      </c>
      <c r="N126" s="6">
        <v>1800000</v>
      </c>
      <c r="O126" s="184" t="s">
        <v>4248</v>
      </c>
      <c r="P126" s="176" t="s">
        <v>4247</v>
      </c>
      <c r="Q126" t="s">
        <v>4246</v>
      </c>
      <c r="R126" t="s">
        <v>4245</v>
      </c>
      <c r="S126" s="178">
        <v>42431</v>
      </c>
      <c r="T126" s="178">
        <v>42482</v>
      </c>
      <c r="U126" t="s">
        <v>1775</v>
      </c>
      <c r="V126" s="178" t="s">
        <v>2571</v>
      </c>
      <c r="W126" s="178">
        <v>42431</v>
      </c>
      <c r="X126" s="6">
        <v>1440000</v>
      </c>
      <c r="Y126" s="6">
        <f t="shared" si="11"/>
        <v>0</v>
      </c>
      <c r="Z126" t="s">
        <v>4244</v>
      </c>
    </row>
    <row r="127" spans="1:26" x14ac:dyDescent="0.25">
      <c r="A127" s="176" t="s">
        <v>3309</v>
      </c>
      <c r="B127" t="s">
        <v>18</v>
      </c>
      <c r="C127" t="s">
        <v>3246</v>
      </c>
      <c r="D127" t="s">
        <v>933</v>
      </c>
      <c r="E127" t="s">
        <v>3308</v>
      </c>
      <c r="F127" s="4" t="s">
        <v>3307</v>
      </c>
      <c r="G127" t="s">
        <v>177</v>
      </c>
      <c r="H127" s="4" t="s">
        <v>178</v>
      </c>
      <c r="I127" t="s">
        <v>2581</v>
      </c>
      <c r="J127" t="s">
        <v>877</v>
      </c>
      <c r="K127" s="6">
        <v>54400</v>
      </c>
      <c r="L127" s="6">
        <f>N127*0.2</f>
        <v>13600</v>
      </c>
      <c r="M127" s="6">
        <f t="shared" si="15"/>
        <v>0</v>
      </c>
      <c r="N127" s="6">
        <v>68000</v>
      </c>
      <c r="O127" s="184" t="s">
        <v>3306</v>
      </c>
      <c r="P127" s="176" t="s">
        <v>3305</v>
      </c>
      <c r="Q127" t="s">
        <v>3310</v>
      </c>
      <c r="R127" t="s">
        <v>3303</v>
      </c>
      <c r="S127" s="178">
        <v>42485</v>
      </c>
      <c r="U127" t="s">
        <v>1775</v>
      </c>
      <c r="V127" s="178" t="s">
        <v>2571</v>
      </c>
      <c r="W127" s="178">
        <v>42571</v>
      </c>
      <c r="X127" s="6">
        <v>54400</v>
      </c>
      <c r="Y127" s="6">
        <f t="shared" si="11"/>
        <v>0</v>
      </c>
    </row>
    <row r="128" spans="1:26" x14ac:dyDescent="0.25">
      <c r="A128" s="176" t="s">
        <v>3309</v>
      </c>
      <c r="B128" t="s">
        <v>18</v>
      </c>
      <c r="C128" t="s">
        <v>3246</v>
      </c>
      <c r="D128" t="s">
        <v>933</v>
      </c>
      <c r="E128" t="s">
        <v>3308</v>
      </c>
      <c r="F128" s="4" t="s">
        <v>3307</v>
      </c>
      <c r="G128" t="s">
        <v>72</v>
      </c>
      <c r="H128" s="4" t="s">
        <v>2609</v>
      </c>
      <c r="I128" t="s">
        <v>2581</v>
      </c>
      <c r="J128" t="s">
        <v>877</v>
      </c>
      <c r="K128" s="6">
        <v>318772</v>
      </c>
      <c r="L128" s="6">
        <f>N128*0.2</f>
        <v>79693</v>
      </c>
      <c r="M128" s="6">
        <f t="shared" si="15"/>
        <v>0</v>
      </c>
      <c r="N128" s="6">
        <v>398465</v>
      </c>
      <c r="O128" s="184" t="s">
        <v>3306</v>
      </c>
      <c r="P128" s="176" t="s">
        <v>3305</v>
      </c>
      <c r="Q128" t="s">
        <v>3304</v>
      </c>
      <c r="R128" t="s">
        <v>3303</v>
      </c>
      <c r="S128" s="178">
        <v>42485</v>
      </c>
      <c r="T128" s="178">
        <v>42531</v>
      </c>
      <c r="U128" t="s">
        <v>1775</v>
      </c>
      <c r="V128" s="178" t="s">
        <v>2571</v>
      </c>
      <c r="W128" s="178">
        <v>42571</v>
      </c>
      <c r="X128" s="6">
        <v>543200</v>
      </c>
      <c r="Y128" s="6">
        <f t="shared" si="11"/>
        <v>-224428</v>
      </c>
    </row>
    <row r="129" spans="1:26" x14ac:dyDescent="0.25">
      <c r="A129" s="176" t="s">
        <v>4083</v>
      </c>
      <c r="B129" t="s">
        <v>18</v>
      </c>
      <c r="C129" t="s">
        <v>3246</v>
      </c>
      <c r="D129" t="s">
        <v>4082</v>
      </c>
      <c r="E129" t="s">
        <v>4081</v>
      </c>
      <c r="F129" t="s">
        <v>4080</v>
      </c>
      <c r="G129" t="s">
        <v>72</v>
      </c>
      <c r="H129" s="4" t="s">
        <v>4085</v>
      </c>
      <c r="I129" t="s">
        <v>2581</v>
      </c>
      <c r="J129" s="4" t="s">
        <v>877</v>
      </c>
      <c r="K129" s="6">
        <v>1617970</v>
      </c>
      <c r="L129" s="6">
        <f>N129*0.2</f>
        <v>494837.2</v>
      </c>
      <c r="M129" s="6">
        <f t="shared" si="15"/>
        <v>361378.79999999981</v>
      </c>
      <c r="N129" s="6">
        <f>2775096-(N130+N131)</f>
        <v>2474186</v>
      </c>
      <c r="O129" s="184" t="s">
        <v>4079</v>
      </c>
      <c r="P129" s="176" t="s">
        <v>4078</v>
      </c>
      <c r="Q129" t="s">
        <v>4084</v>
      </c>
      <c r="R129" t="s">
        <v>4076</v>
      </c>
      <c r="S129" s="178">
        <v>42396</v>
      </c>
      <c r="T129" s="178">
        <v>42433</v>
      </c>
      <c r="U129" t="s">
        <v>1775</v>
      </c>
      <c r="V129" s="178" t="s">
        <v>2604</v>
      </c>
      <c r="W129" s="178">
        <v>42474</v>
      </c>
      <c r="X129" s="6">
        <v>1617970</v>
      </c>
      <c r="Y129" s="6">
        <f t="shared" si="11"/>
        <v>0</v>
      </c>
    </row>
    <row r="130" spans="1:26" x14ac:dyDescent="0.25">
      <c r="A130" s="176" t="s">
        <v>4083</v>
      </c>
      <c r="B130" t="s">
        <v>18</v>
      </c>
      <c r="C130" t="s">
        <v>3246</v>
      </c>
      <c r="D130" t="s">
        <v>4082</v>
      </c>
      <c r="E130" t="s">
        <v>4081</v>
      </c>
      <c r="F130" t="s">
        <v>4080</v>
      </c>
      <c r="G130" t="s">
        <v>72</v>
      </c>
      <c r="H130" s="4" t="s">
        <v>2791</v>
      </c>
      <c r="I130" t="s">
        <v>83</v>
      </c>
      <c r="J130" s="4" t="s">
        <v>18</v>
      </c>
      <c r="K130" s="6">
        <v>0</v>
      </c>
      <c r="L130" s="6">
        <v>0</v>
      </c>
      <c r="M130" s="6">
        <f t="shared" si="15"/>
        <v>41940</v>
      </c>
      <c r="N130" s="6">
        <v>41940</v>
      </c>
      <c r="O130" s="184" t="s">
        <v>4079</v>
      </c>
      <c r="P130" s="176" t="s">
        <v>4078</v>
      </c>
      <c r="R130" t="s">
        <v>4076</v>
      </c>
      <c r="S130" s="178">
        <v>42396</v>
      </c>
      <c r="T130" s="178">
        <v>42433</v>
      </c>
      <c r="U130" t="s">
        <v>1775</v>
      </c>
      <c r="V130" s="178" t="s">
        <v>2604</v>
      </c>
      <c r="W130" s="178">
        <v>42474</v>
      </c>
      <c r="Y130" s="6">
        <f t="shared" si="11"/>
        <v>0</v>
      </c>
    </row>
    <row r="131" spans="1:26" x14ac:dyDescent="0.25">
      <c r="A131" s="176" t="s">
        <v>4083</v>
      </c>
      <c r="B131" t="s">
        <v>18</v>
      </c>
      <c r="C131" t="s">
        <v>3246</v>
      </c>
      <c r="D131" t="s">
        <v>4082</v>
      </c>
      <c r="E131" t="s">
        <v>4081</v>
      </c>
      <c r="F131" t="s">
        <v>4080</v>
      </c>
      <c r="G131" t="s">
        <v>177</v>
      </c>
      <c r="H131" s="4" t="s">
        <v>178</v>
      </c>
      <c r="I131" t="s">
        <v>2581</v>
      </c>
      <c r="J131" s="4" t="s">
        <v>877</v>
      </c>
      <c r="K131" s="6">
        <v>207175</v>
      </c>
      <c r="L131" s="6">
        <f>N131*0.2</f>
        <v>51794</v>
      </c>
      <c r="M131" s="6">
        <f t="shared" si="15"/>
        <v>1</v>
      </c>
      <c r="N131" s="6">
        <v>258970</v>
      </c>
      <c r="O131" s="184" t="s">
        <v>4079</v>
      </c>
      <c r="P131" s="176" t="s">
        <v>4078</v>
      </c>
      <c r="Q131" t="s">
        <v>4077</v>
      </c>
      <c r="R131" t="s">
        <v>4076</v>
      </c>
      <c r="S131" s="178">
        <v>42396</v>
      </c>
      <c r="U131" t="s">
        <v>1775</v>
      </c>
      <c r="V131" s="178" t="s">
        <v>2604</v>
      </c>
      <c r="W131" s="178">
        <v>42474</v>
      </c>
      <c r="X131" s="6">
        <v>207175</v>
      </c>
      <c r="Y131" s="6">
        <f t="shared" si="11"/>
        <v>0</v>
      </c>
    </row>
    <row r="132" spans="1:26" x14ac:dyDescent="0.25">
      <c r="A132" s="176" t="s">
        <v>4581</v>
      </c>
      <c r="B132" t="s">
        <v>18</v>
      </c>
      <c r="C132" t="s">
        <v>3246</v>
      </c>
      <c r="D132" t="s">
        <v>954</v>
      </c>
      <c r="E132" t="s">
        <v>3759</v>
      </c>
      <c r="F132" t="s">
        <v>4580</v>
      </c>
      <c r="G132" t="s">
        <v>212</v>
      </c>
      <c r="H132" s="4" t="s">
        <v>213</v>
      </c>
      <c r="I132" t="s">
        <v>2581</v>
      </c>
      <c r="J132" t="s">
        <v>877</v>
      </c>
      <c r="K132" s="6">
        <v>636634</v>
      </c>
      <c r="L132" s="6">
        <f>N132*0.2</f>
        <v>181895.40000000002</v>
      </c>
      <c r="M132" s="6">
        <f t="shared" si="15"/>
        <v>90947.599999999977</v>
      </c>
      <c r="N132" s="6">
        <v>909477</v>
      </c>
      <c r="O132" s="184" t="s">
        <v>4579</v>
      </c>
      <c r="P132" s="176" t="s">
        <v>4578</v>
      </c>
      <c r="Q132" t="s">
        <v>4577</v>
      </c>
      <c r="R132" t="s">
        <v>4173</v>
      </c>
      <c r="S132" s="178">
        <v>42317</v>
      </c>
      <c r="U132" s="186" t="s">
        <v>1775</v>
      </c>
      <c r="V132" s="178" t="s">
        <v>2571</v>
      </c>
      <c r="W132" s="178">
        <v>42317</v>
      </c>
      <c r="X132" s="6">
        <v>636634</v>
      </c>
      <c r="Y132" s="6">
        <f t="shared" si="11"/>
        <v>0</v>
      </c>
    </row>
    <row r="133" spans="1:26" x14ac:dyDescent="0.25">
      <c r="A133" s="176" t="s">
        <v>1970</v>
      </c>
      <c r="B133" t="s">
        <v>18</v>
      </c>
      <c r="C133" t="s">
        <v>3246</v>
      </c>
      <c r="D133" t="s">
        <v>951</v>
      </c>
      <c r="E133" t="s">
        <v>41</v>
      </c>
      <c r="F133" t="s">
        <v>4132</v>
      </c>
      <c r="G133" t="s">
        <v>177</v>
      </c>
      <c r="H133" s="4" t="s">
        <v>178</v>
      </c>
      <c r="I133" t="s">
        <v>2284</v>
      </c>
      <c r="J133" t="s">
        <v>889</v>
      </c>
      <c r="K133" s="6">
        <v>21422</v>
      </c>
      <c r="L133" s="6">
        <f>N133*0.2</f>
        <v>5355.6</v>
      </c>
      <c r="M133" s="6">
        <f t="shared" si="15"/>
        <v>0.40000000000145519</v>
      </c>
      <c r="N133" s="6">
        <v>26778</v>
      </c>
      <c r="O133" s="184" t="s">
        <v>1969</v>
      </c>
      <c r="P133" s="176" t="s">
        <v>1971</v>
      </c>
      <c r="Q133" t="s">
        <v>4133</v>
      </c>
      <c r="R133" t="s">
        <v>4129</v>
      </c>
      <c r="S133" s="178">
        <v>42453</v>
      </c>
      <c r="U133" t="s">
        <v>1775</v>
      </c>
      <c r="V133" s="178" t="s">
        <v>2571</v>
      </c>
      <c r="W133" s="178">
        <v>42453</v>
      </c>
      <c r="X133" s="6">
        <v>21422</v>
      </c>
      <c r="Y133" s="6">
        <f t="shared" si="11"/>
        <v>0</v>
      </c>
    </row>
    <row r="134" spans="1:26" x14ac:dyDescent="0.25">
      <c r="A134" s="176" t="s">
        <v>1970</v>
      </c>
      <c r="B134" t="s">
        <v>18</v>
      </c>
      <c r="C134" t="s">
        <v>3246</v>
      </c>
      <c r="D134" t="s">
        <v>951</v>
      </c>
      <c r="E134" t="s">
        <v>41</v>
      </c>
      <c r="F134" t="s">
        <v>4132</v>
      </c>
      <c r="G134" t="s">
        <v>72</v>
      </c>
      <c r="H134" s="4" t="s">
        <v>4131</v>
      </c>
      <c r="I134" t="s">
        <v>2284</v>
      </c>
      <c r="J134" t="s">
        <v>889</v>
      </c>
      <c r="K134" s="6">
        <v>283888</v>
      </c>
      <c r="L134" s="6">
        <f>354860*0.2</f>
        <v>70972</v>
      </c>
      <c r="M134" s="6">
        <f t="shared" si="15"/>
        <v>60532</v>
      </c>
      <c r="N134" s="6">
        <f>354860+60532</f>
        <v>415392</v>
      </c>
      <c r="O134" s="184" t="s">
        <v>1969</v>
      </c>
      <c r="P134" s="176" t="s">
        <v>1971</v>
      </c>
      <c r="Q134" t="s">
        <v>4130</v>
      </c>
      <c r="R134" t="s">
        <v>4129</v>
      </c>
      <c r="S134" s="178">
        <v>42453</v>
      </c>
      <c r="U134" t="s">
        <v>1775</v>
      </c>
      <c r="V134" s="178" t="s">
        <v>2571</v>
      </c>
      <c r="W134" s="178">
        <v>42453</v>
      </c>
      <c r="X134" s="6">
        <v>283888</v>
      </c>
      <c r="Y134" s="6">
        <f t="shared" si="11"/>
        <v>0</v>
      </c>
    </row>
    <row r="135" spans="1:26" ht="30" x14ac:dyDescent="0.25">
      <c r="A135" s="176" t="s">
        <v>798</v>
      </c>
      <c r="B135" t="s">
        <v>18</v>
      </c>
      <c r="C135" t="s">
        <v>3246</v>
      </c>
      <c r="D135" t="s">
        <v>951</v>
      </c>
      <c r="E135" t="s">
        <v>1031</v>
      </c>
      <c r="F135" t="s">
        <v>1140</v>
      </c>
      <c r="G135" t="s">
        <v>72</v>
      </c>
      <c r="H135" s="4" t="s">
        <v>123</v>
      </c>
      <c r="I135" t="s">
        <v>2581</v>
      </c>
      <c r="J135" t="s">
        <v>868</v>
      </c>
      <c r="K135" s="6">
        <v>300000</v>
      </c>
      <c r="L135" s="6">
        <f>N135*0.2</f>
        <v>153382.73400000003</v>
      </c>
      <c r="M135" s="6">
        <f t="shared" si="15"/>
        <v>313530.93599999999</v>
      </c>
      <c r="N135" s="6">
        <v>766913.67</v>
      </c>
      <c r="O135" s="184" t="s">
        <v>1361</v>
      </c>
      <c r="P135" s="176" t="s">
        <v>1521</v>
      </c>
      <c r="Q135" t="s">
        <v>3245</v>
      </c>
      <c r="R135" t="s">
        <v>1679</v>
      </c>
      <c r="S135" s="178">
        <v>42348</v>
      </c>
      <c r="T135" s="178">
        <v>42314</v>
      </c>
      <c r="U135" t="s">
        <v>2301</v>
      </c>
      <c r="V135" s="178" t="s">
        <v>2604</v>
      </c>
      <c r="W135" s="178">
        <v>42585</v>
      </c>
      <c r="X135" s="6">
        <v>300000</v>
      </c>
      <c r="Y135" s="6">
        <f t="shared" si="11"/>
        <v>0</v>
      </c>
      <c r="Z135" s="4" t="s">
        <v>3244</v>
      </c>
    </row>
    <row r="136" spans="1:26" ht="30" x14ac:dyDescent="0.25">
      <c r="A136" s="188" t="s">
        <v>3674</v>
      </c>
      <c r="B136" t="s">
        <v>90</v>
      </c>
      <c r="C136" s="61" t="s">
        <v>3246</v>
      </c>
      <c r="D136" s="61" t="s">
        <v>3673</v>
      </c>
      <c r="E136" s="61" t="s">
        <v>3672</v>
      </c>
      <c r="F136" s="15" t="s">
        <v>3671</v>
      </c>
      <c r="G136" s="61" t="s">
        <v>177</v>
      </c>
      <c r="H136" s="15" t="s">
        <v>178</v>
      </c>
      <c r="I136" s="15" t="s">
        <v>1275</v>
      </c>
      <c r="J136" s="15" t="s">
        <v>873</v>
      </c>
      <c r="K136" s="183">
        <v>60000</v>
      </c>
      <c r="L136" s="183">
        <f>N136*0.2</f>
        <v>15000</v>
      </c>
      <c r="M136" s="183">
        <f t="shared" si="15"/>
        <v>0</v>
      </c>
      <c r="N136" s="183">
        <v>75000</v>
      </c>
      <c r="O136" s="189" t="s">
        <v>3670</v>
      </c>
      <c r="P136" s="188" t="s">
        <v>3669</v>
      </c>
      <c r="Q136" s="187" t="s">
        <v>3668</v>
      </c>
      <c r="R136" s="61" t="s">
        <v>3667</v>
      </c>
      <c r="S136" s="185">
        <v>42542</v>
      </c>
      <c r="T136" s="61"/>
      <c r="U136" s="61" t="s">
        <v>1775</v>
      </c>
      <c r="V136" s="185" t="s">
        <v>2571</v>
      </c>
      <c r="W136" s="185">
        <v>42542</v>
      </c>
      <c r="X136" s="183">
        <v>60000</v>
      </c>
      <c r="Y136" s="183">
        <f t="shared" si="11"/>
        <v>0</v>
      </c>
      <c r="Z136" s="61"/>
    </row>
    <row r="137" spans="1:26" ht="30" x14ac:dyDescent="0.25">
      <c r="A137" s="188" t="s">
        <v>3674</v>
      </c>
      <c r="B137" t="s">
        <v>90</v>
      </c>
      <c r="C137" s="61" t="s">
        <v>3246</v>
      </c>
      <c r="D137" s="61" t="s">
        <v>3673</v>
      </c>
      <c r="E137" s="61" t="s">
        <v>3672</v>
      </c>
      <c r="F137" s="15" t="s">
        <v>3671</v>
      </c>
      <c r="G137" s="61" t="s">
        <v>72</v>
      </c>
      <c r="H137" s="15" t="s">
        <v>179</v>
      </c>
      <c r="I137" s="15" t="s">
        <v>1275</v>
      </c>
      <c r="J137" s="15" t="s">
        <v>873</v>
      </c>
      <c r="K137" s="183">
        <v>540000</v>
      </c>
      <c r="L137" s="183">
        <f>N137*0.2</f>
        <v>135000</v>
      </c>
      <c r="M137" s="183">
        <f t="shared" si="15"/>
        <v>0</v>
      </c>
      <c r="N137" s="183">
        <v>675000</v>
      </c>
      <c r="O137" s="189" t="s">
        <v>3670</v>
      </c>
      <c r="P137" s="188" t="s">
        <v>3669</v>
      </c>
      <c r="Q137" s="187" t="s">
        <v>3668</v>
      </c>
      <c r="R137" s="61" t="s">
        <v>3667</v>
      </c>
      <c r="S137" s="185">
        <v>42542</v>
      </c>
      <c r="T137" s="61"/>
      <c r="U137" s="61" t="s">
        <v>1775</v>
      </c>
      <c r="V137" s="185" t="s">
        <v>2571</v>
      </c>
      <c r="W137" s="185">
        <v>42542</v>
      </c>
      <c r="X137" s="183">
        <v>540000</v>
      </c>
      <c r="Y137" s="183">
        <f t="shared" si="11"/>
        <v>0</v>
      </c>
      <c r="Z137" s="61"/>
    </row>
    <row r="138" spans="1:26" x14ac:dyDescent="0.25">
      <c r="A138" s="176" t="s">
        <v>4296</v>
      </c>
      <c r="B138" t="s">
        <v>18</v>
      </c>
      <c r="C138" t="s">
        <v>3246</v>
      </c>
      <c r="D138" t="s">
        <v>382</v>
      </c>
      <c r="E138" t="s">
        <v>4295</v>
      </c>
      <c r="F138" t="s">
        <v>4294</v>
      </c>
      <c r="G138" t="s">
        <v>72</v>
      </c>
      <c r="H138" s="4" t="s">
        <v>2609</v>
      </c>
      <c r="I138" t="s">
        <v>2581</v>
      </c>
      <c r="J138" t="s">
        <v>877</v>
      </c>
      <c r="K138" s="6">
        <v>599469</v>
      </c>
      <c r="L138" s="6">
        <f>N138*0.2</f>
        <v>149867.4</v>
      </c>
      <c r="M138" s="6">
        <v>0</v>
      </c>
      <c r="N138" s="6">
        <v>749337</v>
      </c>
      <c r="O138" s="184" t="s">
        <v>4293</v>
      </c>
      <c r="P138" s="176" t="s">
        <v>4292</v>
      </c>
      <c r="Q138" s="4" t="s">
        <v>4291</v>
      </c>
      <c r="R138" t="s">
        <v>4290</v>
      </c>
      <c r="S138" s="178">
        <v>42327</v>
      </c>
      <c r="U138" t="s">
        <v>1775</v>
      </c>
      <c r="V138" s="178" t="s">
        <v>2604</v>
      </c>
      <c r="W138" s="178">
        <v>42416</v>
      </c>
      <c r="X138" s="6">
        <v>697600</v>
      </c>
      <c r="Y138" s="6">
        <f t="shared" si="11"/>
        <v>-98131</v>
      </c>
    </row>
    <row r="139" spans="1:26" x14ac:dyDescent="0.25">
      <c r="A139" s="176" t="s">
        <v>4296</v>
      </c>
      <c r="B139" t="s">
        <v>18</v>
      </c>
      <c r="C139" t="s">
        <v>3246</v>
      </c>
      <c r="D139" t="s">
        <v>382</v>
      </c>
      <c r="E139" t="s">
        <v>4295</v>
      </c>
      <c r="F139" t="s">
        <v>4294</v>
      </c>
      <c r="G139" t="s">
        <v>177</v>
      </c>
      <c r="H139" s="4" t="s">
        <v>178</v>
      </c>
      <c r="I139" t="s">
        <v>2581</v>
      </c>
      <c r="J139" t="s">
        <v>877</v>
      </c>
      <c r="K139" s="6">
        <v>69600</v>
      </c>
      <c r="L139" s="6">
        <f>N139*0.2</f>
        <v>17400</v>
      </c>
      <c r="M139" s="6">
        <f t="shared" ref="M139:M162" si="16">N139-(K139+L139)</f>
        <v>0</v>
      </c>
      <c r="N139" s="6">
        <v>87000</v>
      </c>
      <c r="O139" s="184" t="s">
        <v>4293</v>
      </c>
      <c r="P139" s="176" t="s">
        <v>4292</v>
      </c>
      <c r="Q139" s="4" t="s">
        <v>4291</v>
      </c>
      <c r="R139" t="s">
        <v>4290</v>
      </c>
      <c r="S139" s="178">
        <v>42327</v>
      </c>
      <c r="U139" t="s">
        <v>1775</v>
      </c>
      <c r="V139" s="178" t="s">
        <v>2604</v>
      </c>
      <c r="W139" s="178">
        <v>42416</v>
      </c>
      <c r="X139" s="6">
        <v>69600</v>
      </c>
      <c r="Y139" s="6">
        <f t="shared" si="11"/>
        <v>0</v>
      </c>
    </row>
    <row r="140" spans="1:26" ht="45" x14ac:dyDescent="0.25">
      <c r="A140" s="188" t="s">
        <v>1974</v>
      </c>
      <c r="B140" t="s">
        <v>18</v>
      </c>
      <c r="C140" s="61" t="s">
        <v>3246</v>
      </c>
      <c r="D140" s="61" t="s">
        <v>1977</v>
      </c>
      <c r="E140" s="15" t="s">
        <v>1976</v>
      </c>
      <c r="F140" s="15" t="s">
        <v>1976</v>
      </c>
      <c r="G140" s="61" t="s">
        <v>72</v>
      </c>
      <c r="H140" s="4" t="s">
        <v>3631</v>
      </c>
      <c r="I140" s="4" t="s">
        <v>2284</v>
      </c>
      <c r="J140" s="4" t="s">
        <v>889</v>
      </c>
      <c r="K140" s="6">
        <v>1222000</v>
      </c>
      <c r="L140" s="6">
        <f>K140*1.25-K140</f>
        <v>305500</v>
      </c>
      <c r="M140" s="6">
        <f t="shared" si="16"/>
        <v>363500</v>
      </c>
      <c r="N140" s="6">
        <v>1891000</v>
      </c>
      <c r="O140" s="184" t="s">
        <v>1973</v>
      </c>
      <c r="P140" s="176" t="s">
        <v>1975</v>
      </c>
      <c r="Q140" s="21" t="s">
        <v>3630</v>
      </c>
      <c r="R140" t="s">
        <v>3629</v>
      </c>
      <c r="S140" s="178">
        <v>42542</v>
      </c>
      <c r="T140" s="178">
        <v>42580</v>
      </c>
      <c r="U140" s="186" t="s">
        <v>1775</v>
      </c>
      <c r="V140" s="178" t="s">
        <v>2571</v>
      </c>
      <c r="W140" s="178">
        <v>42542</v>
      </c>
      <c r="X140" s="6">
        <v>1222000</v>
      </c>
      <c r="Y140" s="6">
        <f t="shared" si="11"/>
        <v>0</v>
      </c>
      <c r="Z140" s="61"/>
    </row>
    <row r="141" spans="1:26" x14ac:dyDescent="0.25">
      <c r="A141" s="176" t="s">
        <v>3716</v>
      </c>
      <c r="B141" t="s">
        <v>18</v>
      </c>
      <c r="C141" t="s">
        <v>3246</v>
      </c>
      <c r="D141" t="s">
        <v>3715</v>
      </c>
      <c r="E141" t="s">
        <v>1014</v>
      </c>
      <c r="F141" t="s">
        <v>3714</v>
      </c>
      <c r="G141" t="s">
        <v>177</v>
      </c>
      <c r="H141" s="4" t="s">
        <v>178</v>
      </c>
      <c r="I141" t="s">
        <v>2581</v>
      </c>
      <c r="J141" t="s">
        <v>877</v>
      </c>
      <c r="K141" s="6">
        <v>75567</v>
      </c>
      <c r="L141" s="6">
        <f t="shared" ref="L141:L150" si="17">N141*0.2</f>
        <v>18891.8</v>
      </c>
      <c r="M141" s="6">
        <f t="shared" si="16"/>
        <v>0.19999999999708962</v>
      </c>
      <c r="N141" s="6">
        <v>94459</v>
      </c>
      <c r="O141" s="184" t="s">
        <v>3713</v>
      </c>
      <c r="P141" s="176" t="s">
        <v>3712</v>
      </c>
      <c r="Q141" t="s">
        <v>3717</v>
      </c>
      <c r="R141" t="s">
        <v>3710</v>
      </c>
      <c r="S141" s="178">
        <v>42439</v>
      </c>
      <c r="U141" t="s">
        <v>1775</v>
      </c>
      <c r="V141" s="178" t="s">
        <v>2604</v>
      </c>
      <c r="W141" s="178">
        <v>42535</v>
      </c>
      <c r="X141" s="6">
        <v>75567</v>
      </c>
      <c r="Y141" s="6">
        <f t="shared" si="11"/>
        <v>0</v>
      </c>
    </row>
    <row r="142" spans="1:26" x14ac:dyDescent="0.25">
      <c r="A142" s="176" t="s">
        <v>3716</v>
      </c>
      <c r="B142" t="s">
        <v>18</v>
      </c>
      <c r="C142" t="s">
        <v>3246</v>
      </c>
      <c r="D142" t="s">
        <v>3715</v>
      </c>
      <c r="E142" t="s">
        <v>1014</v>
      </c>
      <c r="F142" t="s">
        <v>3714</v>
      </c>
      <c r="G142" t="s">
        <v>72</v>
      </c>
      <c r="H142" s="4" t="s">
        <v>2609</v>
      </c>
      <c r="I142" t="s">
        <v>2581</v>
      </c>
      <c r="J142" t="s">
        <v>877</v>
      </c>
      <c r="K142" s="6">
        <v>515744</v>
      </c>
      <c r="L142" s="6">
        <f t="shared" si="17"/>
        <v>128936</v>
      </c>
      <c r="M142" s="6">
        <f t="shared" si="16"/>
        <v>0</v>
      </c>
      <c r="N142" s="6">
        <v>644680</v>
      </c>
      <c r="O142" s="184" t="s">
        <v>3713</v>
      </c>
      <c r="P142" s="176" t="s">
        <v>3712</v>
      </c>
      <c r="Q142" t="s">
        <v>3711</v>
      </c>
      <c r="R142" t="s">
        <v>3710</v>
      </c>
      <c r="S142" s="178">
        <v>42439</v>
      </c>
      <c r="U142" t="s">
        <v>1775</v>
      </c>
      <c r="V142" s="178" t="s">
        <v>2604</v>
      </c>
      <c r="W142" s="178">
        <v>42535</v>
      </c>
      <c r="X142" s="6">
        <v>967521</v>
      </c>
      <c r="Y142" s="6">
        <f t="shared" ref="Y142:Y205" si="18">K142-X142</f>
        <v>-451777</v>
      </c>
    </row>
    <row r="143" spans="1:26" x14ac:dyDescent="0.25">
      <c r="A143" s="176" t="s">
        <v>4423</v>
      </c>
      <c r="B143" t="s">
        <v>18</v>
      </c>
      <c r="C143" t="s">
        <v>3246</v>
      </c>
      <c r="D143" t="s">
        <v>933</v>
      </c>
      <c r="E143" t="s">
        <v>4422</v>
      </c>
      <c r="F143" t="s">
        <v>4421</v>
      </c>
      <c r="G143" t="s">
        <v>117</v>
      </c>
      <c r="H143" s="4" t="s">
        <v>119</v>
      </c>
      <c r="I143" t="s">
        <v>2581</v>
      </c>
      <c r="J143" t="s">
        <v>877</v>
      </c>
      <c r="K143" s="6">
        <v>54400</v>
      </c>
      <c r="L143" s="6">
        <f t="shared" si="17"/>
        <v>13600</v>
      </c>
      <c r="M143" s="6">
        <f t="shared" si="16"/>
        <v>0</v>
      </c>
      <c r="N143" s="6">
        <v>68000</v>
      </c>
      <c r="O143" s="184" t="s">
        <v>4420</v>
      </c>
      <c r="P143" s="176" t="s">
        <v>4419</v>
      </c>
      <c r="Q143" t="s">
        <v>4418</v>
      </c>
      <c r="R143" t="s">
        <v>4417</v>
      </c>
      <c r="S143" s="178">
        <v>42383</v>
      </c>
      <c r="U143" t="s">
        <v>1775</v>
      </c>
      <c r="V143" s="178" t="s">
        <v>2571</v>
      </c>
      <c r="W143" s="178">
        <v>42383</v>
      </c>
      <c r="X143" s="6">
        <v>54400</v>
      </c>
      <c r="Y143" s="6">
        <f t="shared" si="18"/>
        <v>0</v>
      </c>
    </row>
    <row r="144" spans="1:26" x14ac:dyDescent="0.25">
      <c r="A144" s="176" t="s">
        <v>3277</v>
      </c>
      <c r="B144" t="s">
        <v>18</v>
      </c>
      <c r="C144" t="s">
        <v>3246</v>
      </c>
      <c r="D144" t="s">
        <v>951</v>
      </c>
      <c r="E144" t="s">
        <v>3276</v>
      </c>
      <c r="F144" s="4" t="s">
        <v>3275</v>
      </c>
      <c r="G144" t="s">
        <v>177</v>
      </c>
      <c r="H144" s="4" t="s">
        <v>178</v>
      </c>
      <c r="I144" t="s">
        <v>2581</v>
      </c>
      <c r="J144" t="s">
        <v>877</v>
      </c>
      <c r="K144" s="6">
        <v>139801</v>
      </c>
      <c r="L144" s="6">
        <f t="shared" si="17"/>
        <v>34950.400000000001</v>
      </c>
      <c r="M144" s="6">
        <f t="shared" si="16"/>
        <v>0.60000000000582077</v>
      </c>
      <c r="N144" s="6">
        <v>174752</v>
      </c>
      <c r="O144" s="184" t="s">
        <v>3274</v>
      </c>
      <c r="P144" s="176" t="s">
        <v>3273</v>
      </c>
      <c r="Q144" t="s">
        <v>3278</v>
      </c>
      <c r="R144" t="s">
        <v>3271</v>
      </c>
      <c r="S144" s="178">
        <v>42488</v>
      </c>
      <c r="U144" t="s">
        <v>1775</v>
      </c>
      <c r="V144" s="178" t="s">
        <v>2604</v>
      </c>
      <c r="W144" s="178">
        <v>42577</v>
      </c>
      <c r="X144" s="6">
        <v>139801</v>
      </c>
      <c r="Y144" s="6">
        <f t="shared" si="18"/>
        <v>0</v>
      </c>
    </row>
    <row r="145" spans="1:26" x14ac:dyDescent="0.25">
      <c r="A145" s="176" t="s">
        <v>3277</v>
      </c>
      <c r="B145" t="s">
        <v>18</v>
      </c>
      <c r="C145" t="s">
        <v>3246</v>
      </c>
      <c r="D145" t="s">
        <v>951</v>
      </c>
      <c r="E145" t="s">
        <v>3276</v>
      </c>
      <c r="F145" s="4" t="s">
        <v>3275</v>
      </c>
      <c r="G145" t="s">
        <v>72</v>
      </c>
      <c r="H145" s="4" t="s">
        <v>2609</v>
      </c>
      <c r="I145" t="s">
        <v>2581</v>
      </c>
      <c r="J145" t="s">
        <v>877</v>
      </c>
      <c r="K145" s="6">
        <f>2008600-K144</f>
        <v>1868799</v>
      </c>
      <c r="L145" s="6">
        <f t="shared" si="17"/>
        <v>645212.20000000007</v>
      </c>
      <c r="M145" s="6">
        <f t="shared" si="16"/>
        <v>712049.79999999981</v>
      </c>
      <c r="N145" s="6">
        <f>3400813-N144</f>
        <v>3226061</v>
      </c>
      <c r="O145" s="184" t="s">
        <v>3274</v>
      </c>
      <c r="P145" s="176" t="s">
        <v>3273</v>
      </c>
      <c r="Q145" t="s">
        <v>3272</v>
      </c>
      <c r="R145" t="s">
        <v>3271</v>
      </c>
      <c r="S145" s="178">
        <v>42488</v>
      </c>
      <c r="T145" s="178">
        <v>42531</v>
      </c>
      <c r="U145" t="s">
        <v>1775</v>
      </c>
      <c r="V145" s="178" t="s">
        <v>2604</v>
      </c>
      <c r="W145" s="178">
        <v>42577</v>
      </c>
      <c r="X145" s="6">
        <v>2211799</v>
      </c>
      <c r="Y145" s="6">
        <f t="shared" si="18"/>
        <v>-343000</v>
      </c>
    </row>
    <row r="146" spans="1:26" ht="30" x14ac:dyDescent="0.25">
      <c r="A146" s="176" t="s">
        <v>4209</v>
      </c>
      <c r="B146" t="s">
        <v>18</v>
      </c>
      <c r="C146" t="s">
        <v>3246</v>
      </c>
      <c r="D146" t="s">
        <v>3611</v>
      </c>
      <c r="E146" t="s">
        <v>41</v>
      </c>
      <c r="F146" s="4" t="s">
        <v>4208</v>
      </c>
      <c r="G146" t="s">
        <v>72</v>
      </c>
      <c r="H146" s="4" t="s">
        <v>4207</v>
      </c>
      <c r="I146" s="4" t="s">
        <v>2599</v>
      </c>
      <c r="J146" t="s">
        <v>881</v>
      </c>
      <c r="K146" s="6">
        <v>108480</v>
      </c>
      <c r="L146" s="6">
        <f t="shared" si="17"/>
        <v>27120</v>
      </c>
      <c r="M146" s="6">
        <f t="shared" si="16"/>
        <v>0</v>
      </c>
      <c r="N146" s="6">
        <v>135600</v>
      </c>
      <c r="O146" s="184" t="s">
        <v>4206</v>
      </c>
      <c r="P146" s="176" t="s">
        <v>4205</v>
      </c>
      <c r="Q146" t="s">
        <v>4204</v>
      </c>
      <c r="R146" s="4" t="s">
        <v>4203</v>
      </c>
      <c r="S146" s="178">
        <v>42437</v>
      </c>
      <c r="U146" t="s">
        <v>1775</v>
      </c>
      <c r="V146" s="178" t="s">
        <v>2571</v>
      </c>
      <c r="W146" s="178">
        <v>42437</v>
      </c>
      <c r="X146" s="6">
        <v>108480</v>
      </c>
      <c r="Y146" s="6">
        <f t="shared" si="18"/>
        <v>0</v>
      </c>
    </row>
    <row r="147" spans="1:26" ht="30" x14ac:dyDescent="0.25">
      <c r="A147" s="176" t="s">
        <v>3416</v>
      </c>
      <c r="B147" t="s">
        <v>18</v>
      </c>
      <c r="C147" t="s">
        <v>3246</v>
      </c>
      <c r="D147" t="s">
        <v>3415</v>
      </c>
      <c r="E147" s="4" t="s">
        <v>3414</v>
      </c>
      <c r="F147" t="s">
        <v>3414</v>
      </c>
      <c r="G147" t="s">
        <v>72</v>
      </c>
      <c r="H147" s="4" t="s">
        <v>3118</v>
      </c>
      <c r="I147" s="4" t="s">
        <v>2653</v>
      </c>
      <c r="J147" t="s">
        <v>881</v>
      </c>
      <c r="K147" s="6">
        <v>122400</v>
      </c>
      <c r="L147" s="6">
        <f t="shared" si="17"/>
        <v>30600</v>
      </c>
      <c r="M147" s="6">
        <f t="shared" si="16"/>
        <v>0</v>
      </c>
      <c r="N147" s="6">
        <v>153000</v>
      </c>
      <c r="O147" s="184" t="s">
        <v>3413</v>
      </c>
      <c r="P147" s="176" t="s">
        <v>3412</v>
      </c>
      <c r="Q147" t="s">
        <v>3466</v>
      </c>
      <c r="R147" t="s">
        <v>3410</v>
      </c>
      <c r="S147" s="178">
        <v>42391</v>
      </c>
      <c r="U147" t="s">
        <v>2301</v>
      </c>
      <c r="V147" s="178" t="s">
        <v>2604</v>
      </c>
      <c r="W147" s="178">
        <v>42565</v>
      </c>
      <c r="X147" s="6">
        <v>122400</v>
      </c>
      <c r="Y147" s="6">
        <f t="shared" si="18"/>
        <v>0</v>
      </c>
    </row>
    <row r="148" spans="1:26" ht="30" x14ac:dyDescent="0.25">
      <c r="A148" s="176" t="s">
        <v>3416</v>
      </c>
      <c r="B148" t="s">
        <v>18</v>
      </c>
      <c r="C148" t="s">
        <v>3246</v>
      </c>
      <c r="D148" t="s">
        <v>3415</v>
      </c>
      <c r="E148" s="4" t="s">
        <v>3414</v>
      </c>
      <c r="F148" t="s">
        <v>3414</v>
      </c>
      <c r="G148" t="s">
        <v>177</v>
      </c>
      <c r="H148" s="4" t="s">
        <v>178</v>
      </c>
      <c r="I148" s="4" t="s">
        <v>2653</v>
      </c>
      <c r="J148" t="s">
        <v>881</v>
      </c>
      <c r="K148" s="6">
        <v>19200</v>
      </c>
      <c r="L148" s="6">
        <f t="shared" si="17"/>
        <v>4800</v>
      </c>
      <c r="M148" s="6">
        <f t="shared" si="16"/>
        <v>0</v>
      </c>
      <c r="N148" s="6">
        <v>24000</v>
      </c>
      <c r="O148" s="184" t="s">
        <v>3413</v>
      </c>
      <c r="P148" s="176" t="s">
        <v>3412</v>
      </c>
      <c r="Q148" t="s">
        <v>3411</v>
      </c>
      <c r="R148" t="s">
        <v>3410</v>
      </c>
      <c r="S148" s="178">
        <v>42391</v>
      </c>
      <c r="U148" t="s">
        <v>2301</v>
      </c>
      <c r="V148" s="178" t="s">
        <v>2604</v>
      </c>
      <c r="W148" s="178">
        <v>42565</v>
      </c>
      <c r="X148" s="6">
        <v>19200</v>
      </c>
      <c r="Y148" s="6">
        <f t="shared" si="18"/>
        <v>0</v>
      </c>
    </row>
    <row r="149" spans="1:26" ht="30" x14ac:dyDescent="0.25">
      <c r="A149" s="176" t="s">
        <v>3416</v>
      </c>
      <c r="B149" t="s">
        <v>18</v>
      </c>
      <c r="C149" t="s">
        <v>3246</v>
      </c>
      <c r="D149" t="s">
        <v>3415</v>
      </c>
      <c r="E149" s="4" t="s">
        <v>3414</v>
      </c>
      <c r="F149" t="s">
        <v>3414</v>
      </c>
      <c r="G149" t="s">
        <v>72</v>
      </c>
      <c r="H149" s="4" t="s">
        <v>1934</v>
      </c>
      <c r="I149" s="4" t="s">
        <v>2581</v>
      </c>
      <c r="J149" t="s">
        <v>869</v>
      </c>
      <c r="K149" s="6">
        <v>12959</v>
      </c>
      <c r="L149" s="6">
        <f t="shared" si="17"/>
        <v>3239.8</v>
      </c>
      <c r="M149" s="6">
        <f t="shared" si="16"/>
        <v>0.2000000000007276</v>
      </c>
      <c r="N149" s="6">
        <v>16199</v>
      </c>
      <c r="O149" s="184" t="s">
        <v>3413</v>
      </c>
      <c r="P149" s="176" t="s">
        <v>3412</v>
      </c>
      <c r="Q149" t="s">
        <v>3411</v>
      </c>
      <c r="R149" t="s">
        <v>3410</v>
      </c>
      <c r="S149" s="178">
        <v>42501</v>
      </c>
      <c r="U149" t="s">
        <v>2301</v>
      </c>
      <c r="V149" s="178" t="s">
        <v>2604</v>
      </c>
      <c r="W149" s="178">
        <v>42565</v>
      </c>
      <c r="X149" s="6">
        <v>12959</v>
      </c>
      <c r="Y149" s="6">
        <f t="shared" si="18"/>
        <v>0</v>
      </c>
    </row>
    <row r="150" spans="1:26" x14ac:dyDescent="0.25">
      <c r="A150" s="176" t="s">
        <v>4443</v>
      </c>
      <c r="B150" t="s">
        <v>18</v>
      </c>
      <c r="C150" t="s">
        <v>3246</v>
      </c>
      <c r="D150" t="s">
        <v>4442</v>
      </c>
      <c r="E150" t="s">
        <v>4441</v>
      </c>
      <c r="F150" t="s">
        <v>4421</v>
      </c>
      <c r="G150" t="s">
        <v>117</v>
      </c>
      <c r="H150" s="4" t="s">
        <v>119</v>
      </c>
      <c r="I150" t="s">
        <v>1277</v>
      </c>
      <c r="J150" t="s">
        <v>882</v>
      </c>
      <c r="K150" s="6">
        <v>67200</v>
      </c>
      <c r="L150" s="6">
        <f t="shared" si="17"/>
        <v>16800</v>
      </c>
      <c r="M150" s="6">
        <f t="shared" si="16"/>
        <v>0</v>
      </c>
      <c r="N150" s="6">
        <v>84000</v>
      </c>
      <c r="O150" s="184" t="s">
        <v>4440</v>
      </c>
      <c r="P150" s="176" t="s">
        <v>4439</v>
      </c>
      <c r="Q150" t="s">
        <v>4438</v>
      </c>
      <c r="R150" t="s">
        <v>3506</v>
      </c>
      <c r="S150" s="178">
        <v>42355</v>
      </c>
      <c r="U150" t="s">
        <v>1775</v>
      </c>
      <c r="V150" s="178" t="s">
        <v>2571</v>
      </c>
      <c r="W150" s="178">
        <v>42355</v>
      </c>
      <c r="X150" s="6">
        <v>67200</v>
      </c>
      <c r="Y150" s="6">
        <f t="shared" si="18"/>
        <v>0</v>
      </c>
    </row>
    <row r="151" spans="1:26" x14ac:dyDescent="0.25">
      <c r="A151" s="188" t="s">
        <v>3612</v>
      </c>
      <c r="B151" t="s">
        <v>18</v>
      </c>
      <c r="C151" s="61" t="s">
        <v>3246</v>
      </c>
      <c r="D151" s="61" t="s">
        <v>3611</v>
      </c>
      <c r="E151" s="15" t="s">
        <v>3610</v>
      </c>
      <c r="F151" s="15" t="s">
        <v>3609</v>
      </c>
      <c r="G151" s="61" t="s">
        <v>117</v>
      </c>
      <c r="H151" s="4" t="s">
        <v>75</v>
      </c>
      <c r="I151" s="4" t="s">
        <v>2581</v>
      </c>
      <c r="J151" s="4" t="s">
        <v>877</v>
      </c>
      <c r="K151" s="6">
        <v>58730</v>
      </c>
      <c r="L151" s="6">
        <f>K151*1.25-K151</f>
        <v>14682.5</v>
      </c>
      <c r="M151" s="6">
        <f t="shared" si="16"/>
        <v>10487.5</v>
      </c>
      <c r="N151" s="6">
        <v>83900</v>
      </c>
      <c r="O151" s="184" t="s">
        <v>3608</v>
      </c>
      <c r="P151" s="176" t="s">
        <v>3607</v>
      </c>
      <c r="Q151" s="21" t="s">
        <v>3606</v>
      </c>
      <c r="R151" t="s">
        <v>3605</v>
      </c>
      <c r="S151" s="178">
        <v>42544</v>
      </c>
      <c r="U151" s="186" t="s">
        <v>1775</v>
      </c>
      <c r="V151" s="178" t="s">
        <v>2571</v>
      </c>
      <c r="W151" s="178">
        <v>42544</v>
      </c>
      <c r="X151" s="6">
        <v>58730</v>
      </c>
      <c r="Y151" s="6">
        <f t="shared" si="18"/>
        <v>0</v>
      </c>
      <c r="Z151" s="61"/>
    </row>
    <row r="152" spans="1:26" ht="30" x14ac:dyDescent="0.25">
      <c r="A152" s="188" t="s">
        <v>3656</v>
      </c>
      <c r="B152" t="s">
        <v>18</v>
      </c>
      <c r="C152" s="61" t="s">
        <v>3246</v>
      </c>
      <c r="D152" s="61" t="s">
        <v>3655</v>
      </c>
      <c r="E152" s="15" t="s">
        <v>3654</v>
      </c>
      <c r="F152" s="15" t="s">
        <v>3653</v>
      </c>
      <c r="G152" s="61" t="s">
        <v>177</v>
      </c>
      <c r="H152" s="4" t="s">
        <v>178</v>
      </c>
      <c r="I152" s="4" t="s">
        <v>2581</v>
      </c>
      <c r="J152" s="4" t="s">
        <v>877</v>
      </c>
      <c r="K152" s="6">
        <v>59500</v>
      </c>
      <c r="L152" s="6">
        <f>K152*1.25-K152</f>
        <v>14875</v>
      </c>
      <c r="M152" s="6">
        <f t="shared" si="16"/>
        <v>10625</v>
      </c>
      <c r="N152" s="6">
        <v>85000</v>
      </c>
      <c r="O152" s="184" t="s">
        <v>3652</v>
      </c>
      <c r="P152" s="176" t="s">
        <v>3651</v>
      </c>
      <c r="Q152" s="21" t="s">
        <v>3657</v>
      </c>
      <c r="R152" t="s">
        <v>3649</v>
      </c>
      <c r="S152" s="178">
        <v>42542</v>
      </c>
      <c r="U152" s="186" t="s">
        <v>1775</v>
      </c>
      <c r="V152" s="178" t="s">
        <v>2571</v>
      </c>
      <c r="W152" s="178">
        <v>42542</v>
      </c>
      <c r="X152" s="6">
        <v>59500</v>
      </c>
      <c r="Y152" s="6">
        <f t="shared" si="18"/>
        <v>0</v>
      </c>
      <c r="Z152" s="61"/>
    </row>
    <row r="153" spans="1:26" ht="30" x14ac:dyDescent="0.25">
      <c r="A153" s="188" t="s">
        <v>3656</v>
      </c>
      <c r="B153" t="s">
        <v>18</v>
      </c>
      <c r="C153" s="61" t="s">
        <v>3246</v>
      </c>
      <c r="D153" s="61" t="s">
        <v>3655</v>
      </c>
      <c r="E153" s="15" t="s">
        <v>3654</v>
      </c>
      <c r="F153" s="15" t="s">
        <v>3653</v>
      </c>
      <c r="G153" s="61" t="s">
        <v>72</v>
      </c>
      <c r="H153" s="4" t="s">
        <v>2609</v>
      </c>
      <c r="I153" s="4" t="s">
        <v>2581</v>
      </c>
      <c r="J153" s="4" t="s">
        <v>877</v>
      </c>
      <c r="K153" s="6">
        <v>732448</v>
      </c>
      <c r="L153" s="6">
        <f>K153*1.25-K153</f>
        <v>183112</v>
      </c>
      <c r="M153" s="6">
        <f t="shared" si="16"/>
        <v>60795</v>
      </c>
      <c r="N153" s="6">
        <v>976355</v>
      </c>
      <c r="O153" s="184" t="s">
        <v>3652</v>
      </c>
      <c r="P153" s="176" t="s">
        <v>3651</v>
      </c>
      <c r="Q153" s="21" t="s">
        <v>3650</v>
      </c>
      <c r="R153" t="s">
        <v>3649</v>
      </c>
      <c r="S153" s="178">
        <v>42542</v>
      </c>
      <c r="T153" s="178">
        <v>42580</v>
      </c>
      <c r="U153" s="186" t="s">
        <v>1775</v>
      </c>
      <c r="V153" s="178" t="s">
        <v>2571</v>
      </c>
      <c r="W153" s="178">
        <v>42542</v>
      </c>
      <c r="X153" s="6">
        <v>732448</v>
      </c>
      <c r="Y153" s="6">
        <f t="shared" si="18"/>
        <v>0</v>
      </c>
      <c r="Z153" s="61"/>
    </row>
    <row r="154" spans="1:26" ht="30" x14ac:dyDescent="0.25">
      <c r="A154" s="194" t="s">
        <v>3094</v>
      </c>
      <c r="B154" t="s">
        <v>18</v>
      </c>
      <c r="C154" s="193" t="s">
        <v>2576</v>
      </c>
      <c r="D154" s="193" t="s">
        <v>3093</v>
      </c>
      <c r="E154" s="193" t="s">
        <v>3092</v>
      </c>
      <c r="F154" s="193" t="s">
        <v>3092</v>
      </c>
      <c r="G154" s="193" t="s">
        <v>177</v>
      </c>
      <c r="H154" s="15" t="s">
        <v>178</v>
      </c>
      <c r="I154" s="193" t="s">
        <v>867</v>
      </c>
      <c r="J154" s="193" t="s">
        <v>902</v>
      </c>
      <c r="K154" s="183">
        <v>257534</v>
      </c>
      <c r="L154" s="6">
        <f t="shared" ref="L154:L160" si="19">N154*0.2</f>
        <v>64383.8</v>
      </c>
      <c r="M154" s="6">
        <f t="shared" si="16"/>
        <v>1.2000000000116415</v>
      </c>
      <c r="N154" s="183">
        <v>321919</v>
      </c>
      <c r="O154" s="189" t="s">
        <v>3090</v>
      </c>
      <c r="P154" s="188" t="s">
        <v>3089</v>
      </c>
      <c r="Q154" s="192" t="s">
        <v>3095</v>
      </c>
      <c r="R154" s="192" t="s">
        <v>3087</v>
      </c>
      <c r="S154" s="185">
        <v>42592</v>
      </c>
      <c r="T154" s="61"/>
      <c r="U154" s="61" t="s">
        <v>1775</v>
      </c>
      <c r="V154" s="185" t="s">
        <v>2571</v>
      </c>
      <c r="W154" s="185">
        <v>42592</v>
      </c>
      <c r="X154" s="183">
        <v>257534</v>
      </c>
      <c r="Y154" s="6">
        <f t="shared" si="18"/>
        <v>0</v>
      </c>
      <c r="Z154" s="61"/>
    </row>
    <row r="155" spans="1:26" ht="30" x14ac:dyDescent="0.25">
      <c r="A155" s="194" t="s">
        <v>3094</v>
      </c>
      <c r="B155" t="s">
        <v>18</v>
      </c>
      <c r="C155" s="193" t="s">
        <v>2576</v>
      </c>
      <c r="D155" s="193" t="s">
        <v>3093</v>
      </c>
      <c r="E155" s="193" t="s">
        <v>3092</v>
      </c>
      <c r="F155" s="193" t="s">
        <v>3092</v>
      </c>
      <c r="G155" s="193" t="s">
        <v>72</v>
      </c>
      <c r="H155" s="4" t="s">
        <v>3091</v>
      </c>
      <c r="I155" s="4" t="s">
        <v>867</v>
      </c>
      <c r="J155" s="4" t="s">
        <v>902</v>
      </c>
      <c r="K155" s="6">
        <v>2146121</v>
      </c>
      <c r="L155" s="6">
        <f t="shared" si="19"/>
        <v>536530.20000000007</v>
      </c>
      <c r="M155" s="6">
        <f t="shared" si="16"/>
        <v>-0.20000000018626451</v>
      </c>
      <c r="N155" s="6">
        <v>2682651</v>
      </c>
      <c r="O155" s="184" t="s">
        <v>3090</v>
      </c>
      <c r="P155" s="176" t="s">
        <v>3089</v>
      </c>
      <c r="Q155" t="s">
        <v>3088</v>
      </c>
      <c r="R155" t="s">
        <v>3087</v>
      </c>
      <c r="S155" s="185">
        <v>42592</v>
      </c>
      <c r="T155" s="178">
        <v>42629</v>
      </c>
      <c r="U155" t="s">
        <v>1775</v>
      </c>
      <c r="V155" t="s">
        <v>2571</v>
      </c>
      <c r="W155" s="178">
        <v>42592</v>
      </c>
      <c r="X155" s="6">
        <v>2146121</v>
      </c>
      <c r="Y155" s="6">
        <f t="shared" si="18"/>
        <v>0</v>
      </c>
    </row>
    <row r="156" spans="1:26" ht="30" x14ac:dyDescent="0.25">
      <c r="A156" s="176" t="s">
        <v>1979</v>
      </c>
      <c r="B156" t="s">
        <v>18</v>
      </c>
      <c r="C156" t="s">
        <v>2576</v>
      </c>
      <c r="D156" s="4" t="s">
        <v>2575</v>
      </c>
      <c r="E156" s="4" t="s">
        <v>1981</v>
      </c>
      <c r="F156" s="4" t="s">
        <v>1981</v>
      </c>
      <c r="G156" s="4" t="s">
        <v>212</v>
      </c>
      <c r="H156" s="4" t="s">
        <v>213</v>
      </c>
      <c r="I156" s="4" t="s">
        <v>2284</v>
      </c>
      <c r="J156" s="4" t="s">
        <v>889</v>
      </c>
      <c r="K156" s="6">
        <v>98054</v>
      </c>
      <c r="L156" s="6">
        <f t="shared" si="19"/>
        <v>24513.4</v>
      </c>
      <c r="M156" s="6">
        <f t="shared" si="16"/>
        <v>-0.39999999999417923</v>
      </c>
      <c r="N156" s="6">
        <v>122567</v>
      </c>
      <c r="O156" s="184" t="s">
        <v>1978</v>
      </c>
      <c r="P156" s="176" t="s">
        <v>1980</v>
      </c>
      <c r="Q156" t="s">
        <v>2574</v>
      </c>
      <c r="R156" t="s">
        <v>2573</v>
      </c>
      <c r="S156" t="s">
        <v>2572</v>
      </c>
      <c r="U156" t="s">
        <v>1775</v>
      </c>
      <c r="V156" t="s">
        <v>2571</v>
      </c>
      <c r="X156" s="6">
        <v>98054</v>
      </c>
      <c r="Y156" s="6">
        <f t="shared" si="18"/>
        <v>0</v>
      </c>
    </row>
    <row r="157" spans="1:26" x14ac:dyDescent="0.25">
      <c r="A157" s="176" t="s">
        <v>2656</v>
      </c>
      <c r="B157" t="s">
        <v>18</v>
      </c>
      <c r="C157" t="s">
        <v>2576</v>
      </c>
      <c r="D157" s="4" t="s">
        <v>920</v>
      </c>
      <c r="E157" t="s">
        <v>2655</v>
      </c>
      <c r="F157" t="s">
        <v>2655</v>
      </c>
      <c r="G157" s="4" t="s">
        <v>177</v>
      </c>
      <c r="H157" s="4" t="s">
        <v>178</v>
      </c>
      <c r="I157" s="4" t="s">
        <v>2653</v>
      </c>
      <c r="J157" s="4" t="s">
        <v>2652</v>
      </c>
      <c r="K157" s="6">
        <v>44000</v>
      </c>
      <c r="L157" s="6">
        <f t="shared" si="19"/>
        <v>15000</v>
      </c>
      <c r="M157" s="6">
        <f t="shared" si="16"/>
        <v>16000</v>
      </c>
      <c r="N157" s="6">
        <v>75000</v>
      </c>
      <c r="O157" s="184" t="s">
        <v>2651</v>
      </c>
      <c r="P157" s="176" t="s">
        <v>2650</v>
      </c>
      <c r="Q157" t="s">
        <v>2657</v>
      </c>
      <c r="R157" t="s">
        <v>2648</v>
      </c>
      <c r="S157" s="178">
        <v>42640</v>
      </c>
      <c r="U157" t="s">
        <v>1775</v>
      </c>
      <c r="V157" t="s">
        <v>2571</v>
      </c>
      <c r="W157" s="178">
        <v>42640</v>
      </c>
      <c r="X157" s="6">
        <v>44000</v>
      </c>
      <c r="Y157" s="6">
        <f t="shared" si="18"/>
        <v>0</v>
      </c>
    </row>
    <row r="158" spans="1:26" x14ac:dyDescent="0.25">
      <c r="A158" s="176" t="s">
        <v>2656</v>
      </c>
      <c r="B158" t="s">
        <v>18</v>
      </c>
      <c r="C158" t="s">
        <v>2576</v>
      </c>
      <c r="D158" s="4" t="s">
        <v>920</v>
      </c>
      <c r="E158" t="s">
        <v>2655</v>
      </c>
      <c r="F158" t="s">
        <v>2655</v>
      </c>
      <c r="G158" s="4" t="s">
        <v>72</v>
      </c>
      <c r="H158" s="4" t="s">
        <v>2654</v>
      </c>
      <c r="I158" s="4" t="s">
        <v>2653</v>
      </c>
      <c r="J158" s="4" t="s">
        <v>2652</v>
      </c>
      <c r="K158" s="6">
        <v>555894</v>
      </c>
      <c r="L158" s="6">
        <f t="shared" si="19"/>
        <v>189390</v>
      </c>
      <c r="M158" s="6">
        <f t="shared" si="16"/>
        <v>201666</v>
      </c>
      <c r="N158" s="6">
        <v>946950</v>
      </c>
      <c r="O158" s="184" t="s">
        <v>2651</v>
      </c>
      <c r="P158" s="176" t="s">
        <v>2650</v>
      </c>
      <c r="Q158" t="s">
        <v>2649</v>
      </c>
      <c r="R158" t="s">
        <v>2648</v>
      </c>
      <c r="S158" s="178">
        <v>42640</v>
      </c>
      <c r="U158" t="s">
        <v>1775</v>
      </c>
      <c r="V158" t="s">
        <v>2571</v>
      </c>
      <c r="W158" s="178">
        <v>42640</v>
      </c>
      <c r="X158" s="6">
        <v>555894</v>
      </c>
      <c r="Y158" s="6">
        <f t="shared" si="18"/>
        <v>0</v>
      </c>
    </row>
    <row r="159" spans="1:26" x14ac:dyDescent="0.25">
      <c r="A159" s="176" t="s">
        <v>4268</v>
      </c>
      <c r="B159" t="s">
        <v>18</v>
      </c>
      <c r="C159" t="s">
        <v>2576</v>
      </c>
      <c r="D159" t="s">
        <v>4267</v>
      </c>
      <c r="E159" t="s">
        <v>4266</v>
      </c>
      <c r="F159" t="s">
        <v>4265</v>
      </c>
      <c r="G159" t="s">
        <v>117</v>
      </c>
      <c r="H159" s="4" t="s">
        <v>119</v>
      </c>
      <c r="I159" s="4" t="s">
        <v>2653</v>
      </c>
      <c r="J159" t="s">
        <v>913</v>
      </c>
      <c r="K159" s="6">
        <v>70386</v>
      </c>
      <c r="L159" s="6">
        <f t="shared" si="19"/>
        <v>17596.400000000001</v>
      </c>
      <c r="M159" s="6">
        <f t="shared" si="16"/>
        <v>-0.39999999999417923</v>
      </c>
      <c r="N159" s="6">
        <v>87982</v>
      </c>
      <c r="O159" s="184" t="s">
        <v>4264</v>
      </c>
      <c r="P159" s="176" t="s">
        <v>4263</v>
      </c>
      <c r="Q159" t="s">
        <v>4262</v>
      </c>
      <c r="R159" t="s">
        <v>4261</v>
      </c>
      <c r="S159" s="178">
        <v>42430</v>
      </c>
      <c r="U159" t="s">
        <v>1775</v>
      </c>
      <c r="V159" s="178" t="s">
        <v>2571</v>
      </c>
      <c r="W159" s="178">
        <v>42430</v>
      </c>
      <c r="X159" s="6">
        <v>70386</v>
      </c>
      <c r="Y159" s="6">
        <f t="shared" si="18"/>
        <v>0</v>
      </c>
    </row>
    <row r="160" spans="1:26" x14ac:dyDescent="0.25">
      <c r="A160" s="176" t="s">
        <v>2757</v>
      </c>
      <c r="B160" t="s">
        <v>18</v>
      </c>
      <c r="C160" t="s">
        <v>2576</v>
      </c>
      <c r="D160" t="s">
        <v>2575</v>
      </c>
      <c r="E160" t="s">
        <v>2756</v>
      </c>
      <c r="F160" t="s">
        <v>2755</v>
      </c>
      <c r="G160" t="s">
        <v>118</v>
      </c>
      <c r="H160" s="4" t="s">
        <v>213</v>
      </c>
      <c r="I160" s="61" t="s">
        <v>2581</v>
      </c>
      <c r="J160" t="s">
        <v>877</v>
      </c>
      <c r="K160" s="6">
        <v>52500</v>
      </c>
      <c r="L160" s="6">
        <f t="shared" si="19"/>
        <v>15000</v>
      </c>
      <c r="M160" s="6">
        <f t="shared" si="16"/>
        <v>7500</v>
      </c>
      <c r="N160" s="6">
        <v>75000</v>
      </c>
      <c r="O160" s="184" t="s">
        <v>2754</v>
      </c>
      <c r="P160" s="176" t="s">
        <v>2753</v>
      </c>
      <c r="Q160" t="s">
        <v>2752</v>
      </c>
      <c r="R160" t="s">
        <v>2751</v>
      </c>
      <c r="S160" s="185">
        <v>42502</v>
      </c>
      <c r="U160" t="s">
        <v>2570</v>
      </c>
      <c r="V160" s="178" t="s">
        <v>2604</v>
      </c>
      <c r="W160" s="178">
        <v>42633</v>
      </c>
      <c r="X160" s="6">
        <v>52500</v>
      </c>
      <c r="Y160" s="6">
        <f t="shared" si="18"/>
        <v>0</v>
      </c>
      <c r="Z160" s="15"/>
    </row>
    <row r="161" spans="1:26" ht="30" x14ac:dyDescent="0.25">
      <c r="A161" s="188" t="s">
        <v>3647</v>
      </c>
      <c r="B161" t="s">
        <v>18</v>
      </c>
      <c r="C161" s="61" t="s">
        <v>2576</v>
      </c>
      <c r="D161" s="61" t="s">
        <v>920</v>
      </c>
      <c r="E161" s="15" t="s">
        <v>3646</v>
      </c>
      <c r="F161" s="15" t="s">
        <v>3645</v>
      </c>
      <c r="G161" s="61" t="s">
        <v>177</v>
      </c>
      <c r="H161" s="4" t="s">
        <v>178</v>
      </c>
      <c r="I161" s="4" t="s">
        <v>2581</v>
      </c>
      <c r="J161" s="4" t="s">
        <v>877</v>
      </c>
      <c r="K161" s="6">
        <v>63000</v>
      </c>
      <c r="L161" s="6">
        <f>K161*1.25-K161</f>
        <v>15750</v>
      </c>
      <c r="M161" s="6">
        <f t="shared" si="16"/>
        <v>26250</v>
      </c>
      <c r="N161" s="6">
        <v>105000</v>
      </c>
      <c r="O161" s="184" t="s">
        <v>3644</v>
      </c>
      <c r="P161" s="176" t="s">
        <v>3643</v>
      </c>
      <c r="Q161" s="21" t="s">
        <v>3648</v>
      </c>
      <c r="R161" t="s">
        <v>3641</v>
      </c>
      <c r="S161" s="178">
        <v>42542</v>
      </c>
      <c r="U161" s="186" t="s">
        <v>1775</v>
      </c>
      <c r="V161" s="178" t="s">
        <v>2571</v>
      </c>
      <c r="W161" s="178">
        <v>42542</v>
      </c>
      <c r="X161" s="6">
        <v>63000</v>
      </c>
      <c r="Y161" s="6">
        <f t="shared" si="18"/>
        <v>0</v>
      </c>
      <c r="Z161" s="61"/>
    </row>
    <row r="162" spans="1:26" ht="30" x14ac:dyDescent="0.25">
      <c r="A162" s="188" t="s">
        <v>3647</v>
      </c>
      <c r="B162" t="s">
        <v>18</v>
      </c>
      <c r="C162" s="61" t="s">
        <v>2576</v>
      </c>
      <c r="D162" s="61" t="s">
        <v>920</v>
      </c>
      <c r="E162" s="15" t="s">
        <v>3646</v>
      </c>
      <c r="F162" s="15" t="s">
        <v>3645</v>
      </c>
      <c r="G162" s="61" t="s">
        <v>72</v>
      </c>
      <c r="H162" s="4" t="s">
        <v>2609</v>
      </c>
      <c r="I162" s="4" t="s">
        <v>2581</v>
      </c>
      <c r="J162" s="4" t="s">
        <v>877</v>
      </c>
      <c r="K162" s="6">
        <v>752913</v>
      </c>
      <c r="L162" s="6">
        <f>K162*1.25-K162</f>
        <v>188228.25</v>
      </c>
      <c r="M162" s="6">
        <f t="shared" si="16"/>
        <v>393858.75</v>
      </c>
      <c r="N162" s="6">
        <v>1335000</v>
      </c>
      <c r="O162" s="184" t="s">
        <v>3644</v>
      </c>
      <c r="P162" s="176" t="s">
        <v>3643</v>
      </c>
      <c r="Q162" s="21" t="s">
        <v>3642</v>
      </c>
      <c r="R162" t="s">
        <v>3641</v>
      </c>
      <c r="S162" s="178">
        <v>42542</v>
      </c>
      <c r="T162" s="178">
        <v>42580</v>
      </c>
      <c r="U162" s="186" t="s">
        <v>1775</v>
      </c>
      <c r="V162" s="178" t="s">
        <v>2571</v>
      </c>
      <c r="W162" s="178">
        <v>42542</v>
      </c>
      <c r="X162" s="6">
        <v>765000</v>
      </c>
      <c r="Y162" s="6">
        <f t="shared" si="18"/>
        <v>-12087</v>
      </c>
      <c r="Z162" s="61"/>
    </row>
    <row r="163" spans="1:26" x14ac:dyDescent="0.25">
      <c r="A163" s="176" t="s">
        <v>2765</v>
      </c>
      <c r="B163" t="s">
        <v>18</v>
      </c>
      <c r="C163" t="s">
        <v>2576</v>
      </c>
      <c r="D163" t="s">
        <v>929</v>
      </c>
      <c r="E163" t="s">
        <v>2764</v>
      </c>
      <c r="F163" t="s">
        <v>2763</v>
      </c>
      <c r="G163" t="s">
        <v>177</v>
      </c>
      <c r="H163" s="4" t="s">
        <v>178</v>
      </c>
      <c r="I163" t="s">
        <v>2766</v>
      </c>
      <c r="J163" t="s">
        <v>883</v>
      </c>
      <c r="K163" s="6">
        <v>75000</v>
      </c>
      <c r="L163" s="6">
        <f>N163*0.25</f>
        <v>25000</v>
      </c>
      <c r="M163" s="6">
        <v>0</v>
      </c>
      <c r="N163" s="6">
        <v>100000</v>
      </c>
      <c r="O163" s="184" t="s">
        <v>2762</v>
      </c>
      <c r="P163" s="176" t="s">
        <v>2761</v>
      </c>
      <c r="Q163" t="s">
        <v>2760</v>
      </c>
      <c r="R163" t="s">
        <v>2759</v>
      </c>
      <c r="S163" s="178">
        <v>42340</v>
      </c>
      <c r="T163" s="178">
        <v>42384</v>
      </c>
      <c r="U163" t="s">
        <v>2301</v>
      </c>
      <c r="V163" s="178" t="s">
        <v>2604</v>
      </c>
      <c r="W163" s="178">
        <v>42633</v>
      </c>
      <c r="X163" s="6">
        <v>75000</v>
      </c>
      <c r="Y163" s="6">
        <f t="shared" si="18"/>
        <v>0</v>
      </c>
      <c r="Z163" t="s">
        <v>2646</v>
      </c>
    </row>
    <row r="164" spans="1:26" ht="30" x14ac:dyDescent="0.25">
      <c r="A164" s="176" t="s">
        <v>2765</v>
      </c>
      <c r="B164" t="s">
        <v>18</v>
      </c>
      <c r="C164" t="s">
        <v>2576</v>
      </c>
      <c r="D164" t="s">
        <v>929</v>
      </c>
      <c r="E164" t="s">
        <v>2764</v>
      </c>
      <c r="F164" t="s">
        <v>2763</v>
      </c>
      <c r="G164" t="s">
        <v>72</v>
      </c>
      <c r="H164" s="4" t="s">
        <v>2609</v>
      </c>
      <c r="I164" t="s">
        <v>2766</v>
      </c>
      <c r="J164" t="s">
        <v>883</v>
      </c>
      <c r="K164" s="6">
        <f>582172.72-K163</f>
        <v>507172.72</v>
      </c>
      <c r="L164" s="6">
        <f>N164*0.25</f>
        <v>169057.655</v>
      </c>
      <c r="M164" s="6">
        <v>0</v>
      </c>
      <c r="N164" s="6">
        <f>776230.62-N163</f>
        <v>676230.62</v>
      </c>
      <c r="O164" s="184" t="s">
        <v>2762</v>
      </c>
      <c r="P164" s="176" t="s">
        <v>2761</v>
      </c>
      <c r="Q164" t="s">
        <v>2760</v>
      </c>
      <c r="R164" t="s">
        <v>2759</v>
      </c>
      <c r="S164" s="178">
        <v>42340</v>
      </c>
      <c r="T164" s="178">
        <v>42384</v>
      </c>
      <c r="U164" t="s">
        <v>2301</v>
      </c>
      <c r="V164" s="178" t="s">
        <v>2604</v>
      </c>
      <c r="W164" s="178">
        <v>42633</v>
      </c>
      <c r="X164" s="6">
        <v>507173</v>
      </c>
      <c r="Y164" s="6">
        <f t="shared" si="18"/>
        <v>-0.28000000002793968</v>
      </c>
      <c r="Z164" s="4" t="s">
        <v>2646</v>
      </c>
    </row>
    <row r="165" spans="1:26" ht="30" x14ac:dyDescent="0.25">
      <c r="A165" s="176" t="s">
        <v>2765</v>
      </c>
      <c r="B165" t="s">
        <v>18</v>
      </c>
      <c r="C165" t="s">
        <v>2576</v>
      </c>
      <c r="D165" t="s">
        <v>929</v>
      </c>
      <c r="E165" t="s">
        <v>2764</v>
      </c>
      <c r="F165" t="s">
        <v>2763</v>
      </c>
      <c r="G165" t="s">
        <v>72</v>
      </c>
      <c r="H165" s="4" t="s">
        <v>2609</v>
      </c>
      <c r="I165" t="s">
        <v>2581</v>
      </c>
      <c r="J165" t="s">
        <v>877</v>
      </c>
      <c r="K165" s="6">
        <v>373151.23</v>
      </c>
      <c r="L165" s="6">
        <f>N165*0.25</f>
        <v>124383.75</v>
      </c>
      <c r="M165" s="6">
        <v>0</v>
      </c>
      <c r="N165" s="6">
        <v>497535</v>
      </c>
      <c r="O165" s="184" t="s">
        <v>2762</v>
      </c>
      <c r="P165" s="176" t="s">
        <v>2761</v>
      </c>
      <c r="Q165" t="s">
        <v>2760</v>
      </c>
      <c r="R165" t="s">
        <v>2759</v>
      </c>
      <c r="S165" s="178">
        <v>42340</v>
      </c>
      <c r="T165" s="178">
        <v>42384</v>
      </c>
      <c r="U165" t="s">
        <v>2301</v>
      </c>
      <c r="V165" s="178" t="s">
        <v>2604</v>
      </c>
      <c r="W165" s="178">
        <v>42633</v>
      </c>
      <c r="X165" s="6">
        <v>1061595</v>
      </c>
      <c r="Y165" s="6">
        <f t="shared" si="18"/>
        <v>-688443.77</v>
      </c>
      <c r="Z165" s="4" t="s">
        <v>2646</v>
      </c>
    </row>
    <row r="166" spans="1:26" ht="30" x14ac:dyDescent="0.25">
      <c r="A166" s="176" t="s">
        <v>2765</v>
      </c>
      <c r="B166" t="s">
        <v>18</v>
      </c>
      <c r="C166" t="s">
        <v>2576</v>
      </c>
      <c r="D166" t="s">
        <v>929</v>
      </c>
      <c r="E166" t="s">
        <v>2764</v>
      </c>
      <c r="F166" t="s">
        <v>2763</v>
      </c>
      <c r="G166" t="s">
        <v>177</v>
      </c>
      <c r="H166" s="4" t="s">
        <v>178</v>
      </c>
      <c r="I166" t="s">
        <v>2581</v>
      </c>
      <c r="J166" t="s">
        <v>877</v>
      </c>
      <c r="K166" s="6">
        <v>46500</v>
      </c>
      <c r="L166" s="6">
        <f>(K166*1.25)-K166</f>
        <v>11625</v>
      </c>
      <c r="M166" s="6">
        <f t="shared" ref="M166:M211" si="20">N166-(K166+L166)</f>
        <v>3875</v>
      </c>
      <c r="N166" s="6">
        <v>62000</v>
      </c>
      <c r="O166" s="184" t="s">
        <v>2762</v>
      </c>
      <c r="P166" s="176" t="s">
        <v>2761</v>
      </c>
      <c r="Q166" t="s">
        <v>2760</v>
      </c>
      <c r="R166" t="s">
        <v>2759</v>
      </c>
      <c r="S166" s="178">
        <v>42340</v>
      </c>
      <c r="T166" s="178"/>
      <c r="U166" t="s">
        <v>2301</v>
      </c>
      <c r="V166" s="178" t="s">
        <v>2604</v>
      </c>
      <c r="W166" s="178">
        <v>42633</v>
      </c>
      <c r="X166" s="6">
        <v>121500</v>
      </c>
      <c r="Y166" s="6">
        <f t="shared" si="18"/>
        <v>-75000</v>
      </c>
      <c r="Z166" s="4" t="s">
        <v>2758</v>
      </c>
    </row>
    <row r="167" spans="1:26" x14ac:dyDescent="0.25">
      <c r="A167" s="176" t="s">
        <v>3078</v>
      </c>
      <c r="B167" t="s">
        <v>18</v>
      </c>
      <c r="C167" t="s">
        <v>2576</v>
      </c>
      <c r="D167" t="s">
        <v>929</v>
      </c>
      <c r="E167" t="s">
        <v>3077</v>
      </c>
      <c r="F167" t="s">
        <v>3076</v>
      </c>
      <c r="G167" t="s">
        <v>117</v>
      </c>
      <c r="H167" s="4" t="s">
        <v>119</v>
      </c>
      <c r="I167" t="s">
        <v>2581</v>
      </c>
      <c r="J167" t="s">
        <v>877</v>
      </c>
      <c r="K167" s="6">
        <v>106816</v>
      </c>
      <c r="L167" s="6">
        <f>N167*0.2</f>
        <v>26704</v>
      </c>
      <c r="M167" s="6">
        <f t="shared" si="20"/>
        <v>0</v>
      </c>
      <c r="N167" s="6">
        <v>133520</v>
      </c>
      <c r="O167" s="184" t="s">
        <v>3075</v>
      </c>
      <c r="P167" s="176" t="s">
        <v>3074</v>
      </c>
      <c r="Q167" t="s">
        <v>3073</v>
      </c>
      <c r="R167" t="s">
        <v>3072</v>
      </c>
      <c r="S167" s="178">
        <v>42317</v>
      </c>
      <c r="U167" s="186" t="s">
        <v>2301</v>
      </c>
      <c r="V167" s="178" t="s">
        <v>2604</v>
      </c>
      <c r="W167" s="178">
        <v>42593</v>
      </c>
      <c r="X167" s="6">
        <v>106816</v>
      </c>
      <c r="Y167" s="6">
        <f t="shared" si="18"/>
        <v>0</v>
      </c>
    </row>
    <row r="168" spans="1:26" ht="30" x14ac:dyDescent="0.25">
      <c r="A168" s="176" t="s">
        <v>1983</v>
      </c>
      <c r="B168" t="s">
        <v>18</v>
      </c>
      <c r="C168" s="61" t="s">
        <v>2601</v>
      </c>
      <c r="D168" t="s">
        <v>3172</v>
      </c>
      <c r="E168" s="61" t="s">
        <v>2718</v>
      </c>
      <c r="F168" s="61" t="s">
        <v>3171</v>
      </c>
      <c r="G168" s="61" t="s">
        <v>177</v>
      </c>
      <c r="H168" s="4" t="s">
        <v>178</v>
      </c>
      <c r="I168" s="15" t="s">
        <v>2781</v>
      </c>
      <c r="J168" s="15" t="s">
        <v>2652</v>
      </c>
      <c r="K168" s="6">
        <v>72400</v>
      </c>
      <c r="L168" s="6">
        <f>K168*1.25-K168</f>
        <v>18100</v>
      </c>
      <c r="M168" s="6">
        <f t="shared" si="20"/>
        <v>0</v>
      </c>
      <c r="N168" s="6">
        <v>90500</v>
      </c>
      <c r="O168" s="184" t="s">
        <v>3170</v>
      </c>
      <c r="P168" s="176" t="s">
        <v>3169</v>
      </c>
      <c r="Q168" s="61" t="s">
        <v>3173</v>
      </c>
      <c r="R168" s="61" t="s">
        <v>3167</v>
      </c>
      <c r="S168" s="178">
        <v>42586</v>
      </c>
      <c r="U168" s="61" t="s">
        <v>1775</v>
      </c>
      <c r="V168" s="178" t="s">
        <v>2571</v>
      </c>
      <c r="W168" s="178">
        <v>42586</v>
      </c>
      <c r="X168" s="6">
        <v>72400</v>
      </c>
      <c r="Y168" s="6">
        <f t="shared" si="18"/>
        <v>0</v>
      </c>
    </row>
    <row r="169" spans="1:26" ht="30" x14ac:dyDescent="0.25">
      <c r="A169" s="176" t="s">
        <v>1983</v>
      </c>
      <c r="B169" t="s">
        <v>18</v>
      </c>
      <c r="C169" s="61" t="s">
        <v>2601</v>
      </c>
      <c r="D169" t="s">
        <v>3172</v>
      </c>
      <c r="E169" s="61" t="s">
        <v>2718</v>
      </c>
      <c r="F169" s="61" t="s">
        <v>3171</v>
      </c>
      <c r="G169" s="61" t="s">
        <v>72</v>
      </c>
      <c r="H169" s="4" t="s">
        <v>1901</v>
      </c>
      <c r="I169" s="15" t="s">
        <v>2781</v>
      </c>
      <c r="J169" t="s">
        <v>2652</v>
      </c>
      <c r="K169" s="6">
        <v>648000</v>
      </c>
      <c r="L169" s="6">
        <f>K169*1.25-K169</f>
        <v>162000</v>
      </c>
      <c r="M169" s="6">
        <f t="shared" si="20"/>
        <v>0</v>
      </c>
      <c r="N169" s="6">
        <v>810000</v>
      </c>
      <c r="O169" s="184" t="s">
        <v>3170</v>
      </c>
      <c r="P169" s="176" t="s">
        <v>3169</v>
      </c>
      <c r="Q169" s="61" t="s">
        <v>3168</v>
      </c>
      <c r="R169" s="61" t="s">
        <v>3167</v>
      </c>
      <c r="S169" s="178">
        <v>42586</v>
      </c>
      <c r="U169" s="61" t="s">
        <v>1775</v>
      </c>
      <c r="V169" s="178" t="s">
        <v>2571</v>
      </c>
      <c r="W169" s="178">
        <v>42586</v>
      </c>
      <c r="X169" s="6">
        <v>648000</v>
      </c>
      <c r="Y169" s="6">
        <f t="shared" si="18"/>
        <v>0</v>
      </c>
    </row>
    <row r="170" spans="1:26" ht="30" x14ac:dyDescent="0.25">
      <c r="A170" s="176" t="s">
        <v>1983</v>
      </c>
      <c r="B170" t="s">
        <v>18</v>
      </c>
      <c r="C170" t="s">
        <v>2601</v>
      </c>
      <c r="D170" s="4" t="s">
        <v>404</v>
      </c>
      <c r="E170" s="4" t="s">
        <v>2718</v>
      </c>
      <c r="F170" s="4" t="s">
        <v>2717</v>
      </c>
      <c r="G170" s="4" t="s">
        <v>177</v>
      </c>
      <c r="H170" s="4" t="s">
        <v>178</v>
      </c>
      <c r="I170" s="4" t="s">
        <v>2715</v>
      </c>
      <c r="J170" s="4" t="s">
        <v>2714</v>
      </c>
      <c r="K170" s="6">
        <v>172000</v>
      </c>
      <c r="L170" s="6">
        <f t="shared" ref="L170:L175" si="21">N170*0.2</f>
        <v>43000</v>
      </c>
      <c r="M170" s="6">
        <f t="shared" si="20"/>
        <v>0</v>
      </c>
      <c r="N170" s="6">
        <v>215000</v>
      </c>
      <c r="O170" s="184" t="s">
        <v>2713</v>
      </c>
      <c r="P170" s="176" t="s">
        <v>2712</v>
      </c>
      <c r="Q170" t="s">
        <v>2719</v>
      </c>
      <c r="R170" t="s">
        <v>2710</v>
      </c>
      <c r="S170" s="178">
        <v>42634</v>
      </c>
      <c r="U170" t="s">
        <v>1775</v>
      </c>
      <c r="V170" t="s">
        <v>2571</v>
      </c>
      <c r="W170" s="178">
        <v>42634</v>
      </c>
      <c r="X170" s="6">
        <v>172000</v>
      </c>
      <c r="Y170" s="6">
        <f t="shared" si="18"/>
        <v>0</v>
      </c>
    </row>
    <row r="171" spans="1:26" ht="30" x14ac:dyDescent="0.25">
      <c r="A171" s="176" t="s">
        <v>1983</v>
      </c>
      <c r="B171" t="s">
        <v>18</v>
      </c>
      <c r="C171" t="s">
        <v>2601</v>
      </c>
      <c r="D171" s="4" t="s">
        <v>404</v>
      </c>
      <c r="E171" s="4" t="s">
        <v>2718</v>
      </c>
      <c r="F171" s="4" t="s">
        <v>2717</v>
      </c>
      <c r="G171" s="4" t="s">
        <v>72</v>
      </c>
      <c r="H171" s="4" t="s">
        <v>2716</v>
      </c>
      <c r="I171" s="4" t="s">
        <v>2715</v>
      </c>
      <c r="J171" s="4" t="s">
        <v>2714</v>
      </c>
      <c r="K171" s="6">
        <v>2360000</v>
      </c>
      <c r="L171" s="6">
        <f t="shared" si="21"/>
        <v>590000</v>
      </c>
      <c r="M171" s="6">
        <f t="shared" si="20"/>
        <v>0</v>
      </c>
      <c r="N171" s="6">
        <v>2950000</v>
      </c>
      <c r="O171" s="184" t="s">
        <v>2713</v>
      </c>
      <c r="P171" s="176" t="s">
        <v>2712</v>
      </c>
      <c r="Q171" t="s">
        <v>2711</v>
      </c>
      <c r="R171" t="s">
        <v>2710</v>
      </c>
      <c r="S171" s="178">
        <v>42634</v>
      </c>
      <c r="T171" s="178">
        <v>42678</v>
      </c>
      <c r="U171" t="s">
        <v>1775</v>
      </c>
      <c r="V171" t="s">
        <v>2571</v>
      </c>
      <c r="W171" s="178">
        <v>42634</v>
      </c>
      <c r="X171" s="6">
        <v>2360000</v>
      </c>
      <c r="Y171" s="6">
        <f t="shared" si="18"/>
        <v>0</v>
      </c>
    </row>
    <row r="172" spans="1:26" x14ac:dyDescent="0.25">
      <c r="A172" s="176" t="s">
        <v>1983</v>
      </c>
      <c r="B172" t="s">
        <v>18</v>
      </c>
      <c r="C172" t="s">
        <v>2601</v>
      </c>
      <c r="D172" t="s">
        <v>404</v>
      </c>
      <c r="E172" t="s">
        <v>2636</v>
      </c>
      <c r="F172" t="s">
        <v>1142</v>
      </c>
      <c r="G172" t="s">
        <v>72</v>
      </c>
      <c r="H172" s="4" t="s">
        <v>2635</v>
      </c>
      <c r="I172" t="s">
        <v>2581</v>
      </c>
      <c r="J172" t="s">
        <v>877</v>
      </c>
      <c r="K172" s="6">
        <v>881467.96</v>
      </c>
      <c r="L172" s="6">
        <f t="shared" si="21"/>
        <v>220366.99</v>
      </c>
      <c r="M172" s="6">
        <f t="shared" si="20"/>
        <v>0</v>
      </c>
      <c r="N172" s="6">
        <v>1101834.95</v>
      </c>
      <c r="O172" s="184" t="s">
        <v>2633</v>
      </c>
      <c r="P172" s="176" t="s">
        <v>2632</v>
      </c>
      <c r="Q172" s="4" t="s">
        <v>2637</v>
      </c>
      <c r="R172" t="s">
        <v>2630</v>
      </c>
      <c r="S172" s="178">
        <v>42326</v>
      </c>
      <c r="U172" t="s">
        <v>1775</v>
      </c>
      <c r="V172" s="178" t="s">
        <v>2604</v>
      </c>
      <c r="W172" s="178">
        <v>42642</v>
      </c>
      <c r="X172" s="6">
        <v>3536000</v>
      </c>
      <c r="Y172" s="6">
        <f t="shared" si="18"/>
        <v>-2654532.04</v>
      </c>
    </row>
    <row r="173" spans="1:26" x14ac:dyDescent="0.25">
      <c r="A173" s="176" t="s">
        <v>1983</v>
      </c>
      <c r="B173" t="s">
        <v>18</v>
      </c>
      <c r="C173" t="s">
        <v>2601</v>
      </c>
      <c r="D173" t="s">
        <v>404</v>
      </c>
      <c r="E173" t="s">
        <v>2636</v>
      </c>
      <c r="F173" t="s">
        <v>1142</v>
      </c>
      <c r="G173" t="s">
        <v>177</v>
      </c>
      <c r="H173" s="4" t="s">
        <v>178</v>
      </c>
      <c r="I173" t="s">
        <v>2581</v>
      </c>
      <c r="J173" t="s">
        <v>877</v>
      </c>
      <c r="K173" s="6">
        <v>0</v>
      </c>
      <c r="L173" s="6">
        <f t="shared" si="21"/>
        <v>0</v>
      </c>
      <c r="M173" s="6">
        <f t="shared" si="20"/>
        <v>0</v>
      </c>
      <c r="N173" s="6">
        <v>0</v>
      </c>
      <c r="O173" s="184" t="s">
        <v>2633</v>
      </c>
      <c r="P173" s="176" t="s">
        <v>2632</v>
      </c>
      <c r="Q173" s="4" t="s">
        <v>2631</v>
      </c>
      <c r="R173" t="s">
        <v>2630</v>
      </c>
      <c r="S173" s="178">
        <v>42326</v>
      </c>
      <c r="U173" t="s">
        <v>1775</v>
      </c>
      <c r="V173" s="178" t="s">
        <v>2604</v>
      </c>
      <c r="W173" s="178">
        <v>42642</v>
      </c>
      <c r="X173" s="6">
        <v>280000</v>
      </c>
      <c r="Y173" s="6">
        <f t="shared" si="18"/>
        <v>-280000</v>
      </c>
    </row>
    <row r="174" spans="1:26" x14ac:dyDescent="0.25">
      <c r="A174" s="176" t="s">
        <v>1983</v>
      </c>
      <c r="B174" t="s">
        <v>18</v>
      </c>
      <c r="C174" t="s">
        <v>2601</v>
      </c>
      <c r="D174" t="s">
        <v>404</v>
      </c>
      <c r="E174" t="s">
        <v>2636</v>
      </c>
      <c r="F174" t="s">
        <v>1142</v>
      </c>
      <c r="G174" t="s">
        <v>177</v>
      </c>
      <c r="H174" s="4" t="s">
        <v>178</v>
      </c>
      <c r="I174" s="186" t="s">
        <v>2634</v>
      </c>
      <c r="J174" s="186" t="s">
        <v>883</v>
      </c>
      <c r="K174" s="6">
        <v>280000</v>
      </c>
      <c r="L174" s="6">
        <f t="shared" si="21"/>
        <v>70000</v>
      </c>
      <c r="M174" s="6">
        <f t="shared" si="20"/>
        <v>0</v>
      </c>
      <c r="N174" s="6">
        <v>350000</v>
      </c>
      <c r="O174" s="184" t="s">
        <v>2633</v>
      </c>
      <c r="P174" s="176" t="s">
        <v>2632</v>
      </c>
      <c r="Q174" s="4" t="s">
        <v>2631</v>
      </c>
      <c r="R174" t="s">
        <v>2630</v>
      </c>
      <c r="S174" s="178">
        <v>42326</v>
      </c>
      <c r="U174" t="s">
        <v>1775</v>
      </c>
      <c r="V174" s="178" t="s">
        <v>2604</v>
      </c>
      <c r="W174" s="178">
        <v>42642</v>
      </c>
      <c r="X174" s="6">
        <v>280000</v>
      </c>
      <c r="Y174" s="6">
        <f t="shared" si="18"/>
        <v>0</v>
      </c>
    </row>
    <row r="175" spans="1:26" x14ac:dyDescent="0.25">
      <c r="A175" s="176" t="s">
        <v>1983</v>
      </c>
      <c r="B175" t="s">
        <v>18</v>
      </c>
      <c r="C175" t="s">
        <v>2601</v>
      </c>
      <c r="D175" t="s">
        <v>404</v>
      </c>
      <c r="E175" t="s">
        <v>2636</v>
      </c>
      <c r="F175" t="s">
        <v>1142</v>
      </c>
      <c r="G175" t="s">
        <v>72</v>
      </c>
      <c r="H175" s="4" t="s">
        <v>2635</v>
      </c>
      <c r="I175" s="186" t="s">
        <v>2634</v>
      </c>
      <c r="J175" s="186" t="s">
        <v>883</v>
      </c>
      <c r="K175" s="6">
        <f>1804554.87+881467.96-K174</f>
        <v>2406022.83</v>
      </c>
      <c r="L175" s="6">
        <f t="shared" si="21"/>
        <v>603633.01</v>
      </c>
      <c r="M175" s="6">
        <f t="shared" si="20"/>
        <v>8509.2099999999627</v>
      </c>
      <c r="N175" s="6">
        <f>2255693.59+1112471.46-N174</f>
        <v>3018165.05</v>
      </c>
      <c r="O175" s="184" t="s">
        <v>2633</v>
      </c>
      <c r="P175" s="176" t="s">
        <v>2632</v>
      </c>
      <c r="Q175" s="4" t="s">
        <v>2631</v>
      </c>
      <c r="R175" t="s">
        <v>2630</v>
      </c>
      <c r="S175" s="178">
        <v>42326</v>
      </c>
      <c r="U175" t="s">
        <v>1775</v>
      </c>
      <c r="V175" s="178" t="s">
        <v>2604</v>
      </c>
      <c r="W175" s="178">
        <v>42642</v>
      </c>
      <c r="X175" s="6">
        <v>2406023</v>
      </c>
      <c r="Y175" s="6">
        <f t="shared" si="18"/>
        <v>-0.16999999992549419</v>
      </c>
    </row>
    <row r="176" spans="1:26" ht="30" x14ac:dyDescent="0.25">
      <c r="A176" s="176" t="s">
        <v>407</v>
      </c>
      <c r="B176" t="s">
        <v>90</v>
      </c>
      <c r="C176" t="s">
        <v>2601</v>
      </c>
      <c r="D176" t="s">
        <v>91</v>
      </c>
      <c r="E176" t="s">
        <v>4536</v>
      </c>
      <c r="F176" t="s">
        <v>4535</v>
      </c>
      <c r="G176" t="s">
        <v>73</v>
      </c>
      <c r="H176" s="4" t="s">
        <v>245</v>
      </c>
      <c r="I176" s="61" t="s">
        <v>3040</v>
      </c>
      <c r="J176" t="s">
        <v>871</v>
      </c>
      <c r="K176" s="6">
        <v>360000</v>
      </c>
      <c r="L176" s="6">
        <f>N176*0.1</f>
        <v>40000</v>
      </c>
      <c r="M176" s="6">
        <f t="shared" si="20"/>
        <v>0</v>
      </c>
      <c r="N176" s="6">
        <v>400000</v>
      </c>
      <c r="O176" s="184" t="s">
        <v>4534</v>
      </c>
      <c r="P176" s="176" t="s">
        <v>4533</v>
      </c>
      <c r="Q176" s="4" t="s">
        <v>4532</v>
      </c>
      <c r="R176" t="s">
        <v>4531</v>
      </c>
      <c r="S176" s="178">
        <v>42328</v>
      </c>
      <c r="U176" t="s">
        <v>1775</v>
      </c>
      <c r="V176" s="178" t="s">
        <v>2571</v>
      </c>
      <c r="W176" s="178">
        <v>42328</v>
      </c>
      <c r="X176" s="6">
        <v>360000</v>
      </c>
      <c r="Y176" s="6">
        <f t="shared" si="18"/>
        <v>0</v>
      </c>
    </row>
    <row r="177" spans="1:26" x14ac:dyDescent="0.25">
      <c r="A177" s="188" t="s">
        <v>2602</v>
      </c>
      <c r="B177" t="s">
        <v>18</v>
      </c>
      <c r="C177" s="61" t="s">
        <v>2601</v>
      </c>
      <c r="D177" s="61" t="s">
        <v>404</v>
      </c>
      <c r="E177" s="15" t="s">
        <v>41</v>
      </c>
      <c r="F177" s="15" t="s">
        <v>2600</v>
      </c>
      <c r="G177" s="61" t="s">
        <v>177</v>
      </c>
      <c r="H177" s="15" t="s">
        <v>178</v>
      </c>
      <c r="I177" s="15" t="s">
        <v>2599</v>
      </c>
      <c r="J177" s="15" t="s">
        <v>881</v>
      </c>
      <c r="K177" s="183">
        <v>7000</v>
      </c>
      <c r="L177" s="183">
        <v>0</v>
      </c>
      <c r="M177" s="183">
        <f t="shared" si="20"/>
        <v>0</v>
      </c>
      <c r="N177" s="183">
        <v>7000</v>
      </c>
      <c r="O177" s="189" t="s">
        <v>2598</v>
      </c>
      <c r="P177" s="188" t="s">
        <v>2597</v>
      </c>
      <c r="Q177" s="187" t="s">
        <v>2596</v>
      </c>
      <c r="R177" s="61" t="s">
        <v>2595</v>
      </c>
      <c r="S177" s="185">
        <v>42542</v>
      </c>
      <c r="T177" s="61"/>
      <c r="U177" s="186" t="s">
        <v>1775</v>
      </c>
      <c r="V177" s="185" t="s">
        <v>2571</v>
      </c>
      <c r="W177" s="61"/>
      <c r="X177" s="183">
        <v>7000</v>
      </c>
      <c r="Y177" s="183">
        <f t="shared" si="18"/>
        <v>0</v>
      </c>
      <c r="Z177" s="61"/>
    </row>
    <row r="178" spans="1:26" x14ac:dyDescent="0.25">
      <c r="A178" s="188" t="s">
        <v>2602</v>
      </c>
      <c r="B178" t="s">
        <v>18</v>
      </c>
      <c r="C178" s="61" t="s">
        <v>2601</v>
      </c>
      <c r="D178" s="61" t="s">
        <v>404</v>
      </c>
      <c r="E178" s="15" t="s">
        <v>41</v>
      </c>
      <c r="F178" s="15" t="s">
        <v>2600</v>
      </c>
      <c r="G178" s="61" t="s">
        <v>72</v>
      </c>
      <c r="H178" s="15" t="s">
        <v>1934</v>
      </c>
      <c r="I178" s="15" t="s">
        <v>2599</v>
      </c>
      <c r="J178" s="15" t="s">
        <v>881</v>
      </c>
      <c r="K178" s="183">
        <v>45350</v>
      </c>
      <c r="L178" s="183">
        <v>0</v>
      </c>
      <c r="M178" s="183">
        <f t="shared" si="20"/>
        <v>0</v>
      </c>
      <c r="N178" s="183">
        <v>45350</v>
      </c>
      <c r="O178" s="189" t="s">
        <v>2598</v>
      </c>
      <c r="P178" s="188" t="s">
        <v>2597</v>
      </c>
      <c r="Q178" s="187" t="s">
        <v>2596</v>
      </c>
      <c r="R178" s="61" t="s">
        <v>2595</v>
      </c>
      <c r="S178" s="185">
        <v>42542</v>
      </c>
      <c r="T178" s="185">
        <v>42580</v>
      </c>
      <c r="U178" s="186" t="s">
        <v>1775</v>
      </c>
      <c r="V178" s="185" t="s">
        <v>2571</v>
      </c>
      <c r="W178" s="61"/>
      <c r="X178" s="183">
        <v>45350</v>
      </c>
      <c r="Y178" s="183">
        <f t="shared" si="18"/>
        <v>0</v>
      </c>
      <c r="Z178" s="61"/>
    </row>
    <row r="179" spans="1:26" x14ac:dyDescent="0.25">
      <c r="A179" s="176" t="s">
        <v>4416</v>
      </c>
      <c r="B179" t="s">
        <v>18</v>
      </c>
      <c r="C179" t="s">
        <v>2601</v>
      </c>
      <c r="D179" t="s">
        <v>284</v>
      </c>
      <c r="E179" t="s">
        <v>4415</v>
      </c>
      <c r="F179" t="s">
        <v>4414</v>
      </c>
      <c r="G179" t="s">
        <v>212</v>
      </c>
      <c r="H179" s="4" t="s">
        <v>213</v>
      </c>
      <c r="I179" t="s">
        <v>2581</v>
      </c>
      <c r="J179" t="s">
        <v>877</v>
      </c>
      <c r="K179" s="6">
        <v>115302</v>
      </c>
      <c r="L179" s="6">
        <f>N179*0.3</f>
        <v>49415.1</v>
      </c>
      <c r="M179" s="6">
        <f t="shared" si="20"/>
        <v>-0.10000000000582077</v>
      </c>
      <c r="N179" s="6">
        <v>164717</v>
      </c>
      <c r="O179" s="184" t="s">
        <v>4413</v>
      </c>
      <c r="P179" s="176" t="s">
        <v>4412</v>
      </c>
      <c r="Q179" t="s">
        <v>4411</v>
      </c>
      <c r="R179" t="s">
        <v>4410</v>
      </c>
      <c r="S179" s="178">
        <v>42383</v>
      </c>
      <c r="U179" t="s">
        <v>1775</v>
      </c>
      <c r="V179" s="178" t="s">
        <v>2571</v>
      </c>
      <c r="W179" s="178">
        <v>42383</v>
      </c>
      <c r="X179" s="6">
        <v>115302</v>
      </c>
      <c r="Y179" s="6">
        <f t="shared" si="18"/>
        <v>0</v>
      </c>
      <c r="Z179" t="s">
        <v>4114</v>
      </c>
    </row>
    <row r="180" spans="1:26" ht="45" x14ac:dyDescent="0.25">
      <c r="A180" s="188" t="s">
        <v>786</v>
      </c>
      <c r="B180" t="s">
        <v>90</v>
      </c>
      <c r="C180" s="61" t="s">
        <v>2601</v>
      </c>
      <c r="D180" s="61" t="s">
        <v>408</v>
      </c>
      <c r="E180" s="61" t="s">
        <v>2750</v>
      </c>
      <c r="F180" s="15" t="s">
        <v>2749</v>
      </c>
      <c r="G180" s="61" t="s">
        <v>72</v>
      </c>
      <c r="H180" s="4" t="s">
        <v>2609</v>
      </c>
      <c r="I180" s="4" t="s">
        <v>2581</v>
      </c>
      <c r="J180" s="4" t="s">
        <v>868</v>
      </c>
      <c r="K180" s="6">
        <v>38153</v>
      </c>
      <c r="L180" s="6">
        <f>K180*1.25-K180</f>
        <v>9538.25</v>
      </c>
      <c r="M180" s="6">
        <f t="shared" si="20"/>
        <v>-0.25</v>
      </c>
      <c r="N180" s="6">
        <v>47691</v>
      </c>
      <c r="O180" s="184" t="s">
        <v>2747</v>
      </c>
      <c r="P180" s="176" t="s">
        <v>2746</v>
      </c>
      <c r="Q180" s="21" t="s">
        <v>2745</v>
      </c>
      <c r="R180" t="s">
        <v>2744</v>
      </c>
      <c r="S180" s="178">
        <v>42542</v>
      </c>
      <c r="U180" s="186" t="s">
        <v>2570</v>
      </c>
      <c r="V180" s="178" t="s">
        <v>2604</v>
      </c>
      <c r="W180" s="178">
        <v>42633</v>
      </c>
      <c r="X180" s="6">
        <v>117120</v>
      </c>
      <c r="Y180" s="6">
        <f t="shared" si="18"/>
        <v>-78967</v>
      </c>
      <c r="Z180" s="61"/>
    </row>
    <row r="181" spans="1:26" ht="45" x14ac:dyDescent="0.25">
      <c r="A181" s="188" t="s">
        <v>786</v>
      </c>
      <c r="B181" t="s">
        <v>90</v>
      </c>
      <c r="C181" s="61" t="s">
        <v>2601</v>
      </c>
      <c r="D181" s="61" t="s">
        <v>408</v>
      </c>
      <c r="E181" s="61" t="s">
        <v>2750</v>
      </c>
      <c r="F181" s="15" t="s">
        <v>2749</v>
      </c>
      <c r="G181" s="61" t="s">
        <v>177</v>
      </c>
      <c r="H181" s="4" t="s">
        <v>178</v>
      </c>
      <c r="I181" s="4" t="s">
        <v>2748</v>
      </c>
      <c r="J181" s="4" t="s">
        <v>868</v>
      </c>
      <c r="K181" s="6">
        <v>112499</v>
      </c>
      <c r="L181" s="6">
        <f>K181*1.25-K181</f>
        <v>28124.75</v>
      </c>
      <c r="M181" s="6">
        <f t="shared" si="20"/>
        <v>0.25</v>
      </c>
      <c r="N181" s="6">
        <v>140624</v>
      </c>
      <c r="O181" s="184" t="s">
        <v>2747</v>
      </c>
      <c r="P181" s="176" t="s">
        <v>2746</v>
      </c>
      <c r="Q181" s="21" t="s">
        <v>2745</v>
      </c>
      <c r="R181" t="s">
        <v>2744</v>
      </c>
      <c r="S181" s="178">
        <v>42542</v>
      </c>
      <c r="U181" s="186" t="s">
        <v>2570</v>
      </c>
      <c r="V181" s="178" t="s">
        <v>2604</v>
      </c>
      <c r="W181" s="178">
        <v>42633</v>
      </c>
      <c r="X181" s="6">
        <v>48000</v>
      </c>
      <c r="Y181" s="6">
        <f t="shared" si="18"/>
        <v>64499</v>
      </c>
      <c r="Z181" s="61"/>
    </row>
    <row r="182" spans="1:26" ht="45" x14ac:dyDescent="0.25">
      <c r="A182" s="188" t="s">
        <v>786</v>
      </c>
      <c r="B182" t="s">
        <v>90</v>
      </c>
      <c r="C182" s="61" t="s">
        <v>2601</v>
      </c>
      <c r="D182" s="61" t="s">
        <v>408</v>
      </c>
      <c r="E182" s="61" t="s">
        <v>2750</v>
      </c>
      <c r="F182" s="15" t="s">
        <v>2749</v>
      </c>
      <c r="G182" s="61" t="s">
        <v>72</v>
      </c>
      <c r="H182" s="4" t="s">
        <v>2609</v>
      </c>
      <c r="I182" s="4" t="s">
        <v>2748</v>
      </c>
      <c r="J182" s="4" t="s">
        <v>868</v>
      </c>
      <c r="K182" s="6">
        <v>711841</v>
      </c>
      <c r="L182" s="6">
        <f>K182*1.25-K182</f>
        <v>177960.25</v>
      </c>
      <c r="M182" s="6">
        <f t="shared" si="20"/>
        <v>-0.25</v>
      </c>
      <c r="N182" s="6">
        <v>889801</v>
      </c>
      <c r="O182" s="184" t="s">
        <v>2747</v>
      </c>
      <c r="P182" s="176" t="s">
        <v>2746</v>
      </c>
      <c r="Q182" s="21" t="s">
        <v>2745</v>
      </c>
      <c r="R182" t="s">
        <v>2744</v>
      </c>
      <c r="S182" s="178">
        <v>42542</v>
      </c>
      <c r="U182" s="186" t="s">
        <v>2570</v>
      </c>
      <c r="V182" s="178" t="s">
        <v>2604</v>
      </c>
      <c r="W182" s="178">
        <v>42633</v>
      </c>
      <c r="X182" s="6">
        <v>432000</v>
      </c>
      <c r="Y182" s="6">
        <f t="shared" si="18"/>
        <v>279841</v>
      </c>
      <c r="Z182" s="61"/>
    </row>
    <row r="183" spans="1:26" x14ac:dyDescent="0.25">
      <c r="A183" s="176" t="s">
        <v>3196</v>
      </c>
      <c r="B183" t="s">
        <v>18</v>
      </c>
      <c r="C183" t="s">
        <v>2601</v>
      </c>
      <c r="D183" t="s">
        <v>3187</v>
      </c>
      <c r="E183" t="s">
        <v>3195</v>
      </c>
      <c r="F183" t="s">
        <v>3194</v>
      </c>
      <c r="G183" t="s">
        <v>177</v>
      </c>
      <c r="H183" s="4" t="s">
        <v>178</v>
      </c>
      <c r="I183" t="s">
        <v>2581</v>
      </c>
      <c r="J183" t="s">
        <v>877</v>
      </c>
      <c r="K183" s="6">
        <v>32000</v>
      </c>
      <c r="L183" s="6">
        <f t="shared" ref="L183:L188" si="22">N183*0.2</f>
        <v>8000</v>
      </c>
      <c r="M183" s="6">
        <f t="shared" si="20"/>
        <v>0</v>
      </c>
      <c r="N183" s="6">
        <v>40000</v>
      </c>
      <c r="O183" s="184" t="s">
        <v>3193</v>
      </c>
      <c r="P183" s="176" t="s">
        <v>3192</v>
      </c>
      <c r="Q183" t="s">
        <v>3197</v>
      </c>
      <c r="R183" s="4" t="s">
        <v>3190</v>
      </c>
      <c r="S183" s="178">
        <v>42437</v>
      </c>
      <c r="U183" t="s">
        <v>2301</v>
      </c>
      <c r="V183" s="178" t="s">
        <v>2604</v>
      </c>
      <c r="W183" s="178">
        <v>42586</v>
      </c>
      <c r="X183" s="6">
        <v>32000</v>
      </c>
      <c r="Y183" s="6">
        <f t="shared" si="18"/>
        <v>0</v>
      </c>
    </row>
    <row r="184" spans="1:26" x14ac:dyDescent="0.25">
      <c r="A184" s="176" t="s">
        <v>3196</v>
      </c>
      <c r="B184" t="s">
        <v>18</v>
      </c>
      <c r="C184" t="s">
        <v>2601</v>
      </c>
      <c r="D184" t="s">
        <v>3187</v>
      </c>
      <c r="E184" t="s">
        <v>3195</v>
      </c>
      <c r="F184" t="s">
        <v>3194</v>
      </c>
      <c r="G184" t="s">
        <v>72</v>
      </c>
      <c r="H184" s="4" t="s">
        <v>2609</v>
      </c>
      <c r="I184" t="s">
        <v>2581</v>
      </c>
      <c r="J184" t="s">
        <v>877</v>
      </c>
      <c r="K184" s="6">
        <v>279306</v>
      </c>
      <c r="L184" s="6">
        <f t="shared" si="22"/>
        <v>69830.600000000006</v>
      </c>
      <c r="M184" s="6">
        <f t="shared" si="20"/>
        <v>16.400000000023283</v>
      </c>
      <c r="N184" s="6">
        <v>349153</v>
      </c>
      <c r="O184" s="184" t="s">
        <v>3193</v>
      </c>
      <c r="P184" s="176" t="s">
        <v>3192</v>
      </c>
      <c r="Q184" t="s">
        <v>3191</v>
      </c>
      <c r="R184" s="4" t="s">
        <v>3190</v>
      </c>
      <c r="S184" s="178">
        <v>42437</v>
      </c>
      <c r="T184" s="178">
        <v>42482</v>
      </c>
      <c r="U184" t="s">
        <v>2301</v>
      </c>
      <c r="V184" s="178" t="s">
        <v>2604</v>
      </c>
      <c r="W184" s="178">
        <v>42586</v>
      </c>
      <c r="X184" s="6">
        <v>332000</v>
      </c>
      <c r="Y184" s="6">
        <f t="shared" si="18"/>
        <v>-52694</v>
      </c>
    </row>
    <row r="185" spans="1:26" x14ac:dyDescent="0.25">
      <c r="A185" s="176" t="s">
        <v>3188</v>
      </c>
      <c r="B185" t="s">
        <v>18</v>
      </c>
      <c r="C185" t="s">
        <v>2601</v>
      </c>
      <c r="D185" t="s">
        <v>3187</v>
      </c>
      <c r="E185" t="s">
        <v>3186</v>
      </c>
      <c r="F185" t="s">
        <v>3185</v>
      </c>
      <c r="G185" t="s">
        <v>177</v>
      </c>
      <c r="H185" s="4" t="s">
        <v>178</v>
      </c>
      <c r="I185" t="s">
        <v>2581</v>
      </c>
      <c r="J185" t="s">
        <v>877</v>
      </c>
      <c r="K185" s="6">
        <v>37600</v>
      </c>
      <c r="L185" s="6">
        <f t="shared" si="22"/>
        <v>9400</v>
      </c>
      <c r="M185" s="6">
        <f t="shared" si="20"/>
        <v>0</v>
      </c>
      <c r="N185" s="6">
        <v>47000</v>
      </c>
      <c r="O185" s="184" t="s">
        <v>3184</v>
      </c>
      <c r="P185" s="176" t="s">
        <v>3183</v>
      </c>
      <c r="Q185" t="s">
        <v>3189</v>
      </c>
      <c r="R185" s="4" t="s">
        <v>3181</v>
      </c>
      <c r="S185" s="178">
        <v>42437</v>
      </c>
      <c r="T185" s="178"/>
      <c r="U185" t="s">
        <v>2301</v>
      </c>
      <c r="V185" s="178" t="s">
        <v>2604</v>
      </c>
      <c r="W185" s="178">
        <v>42586</v>
      </c>
      <c r="X185" s="6">
        <v>37600</v>
      </c>
      <c r="Y185" s="6">
        <f t="shared" si="18"/>
        <v>0</v>
      </c>
    </row>
    <row r="186" spans="1:26" x14ac:dyDescent="0.25">
      <c r="A186" s="176" t="s">
        <v>3188</v>
      </c>
      <c r="B186" t="s">
        <v>18</v>
      </c>
      <c r="C186" t="s">
        <v>2601</v>
      </c>
      <c r="D186" t="s">
        <v>3187</v>
      </c>
      <c r="E186" t="s">
        <v>3186</v>
      </c>
      <c r="F186" t="s">
        <v>3185</v>
      </c>
      <c r="G186" t="s">
        <v>72</v>
      </c>
      <c r="H186" s="4" t="s">
        <v>2609</v>
      </c>
      <c r="I186" t="s">
        <v>2581</v>
      </c>
      <c r="J186" t="s">
        <v>877</v>
      </c>
      <c r="K186" s="6">
        <v>292923</v>
      </c>
      <c r="L186" s="6">
        <f t="shared" si="22"/>
        <v>73231</v>
      </c>
      <c r="M186" s="6">
        <f t="shared" si="20"/>
        <v>1</v>
      </c>
      <c r="N186" s="6">
        <v>366155</v>
      </c>
      <c r="O186" s="184" t="s">
        <v>3184</v>
      </c>
      <c r="P186" s="176" t="s">
        <v>3183</v>
      </c>
      <c r="Q186" t="s">
        <v>3182</v>
      </c>
      <c r="R186" s="4" t="s">
        <v>3181</v>
      </c>
      <c r="S186" s="178">
        <v>42437</v>
      </c>
      <c r="T186" s="178">
        <v>42482</v>
      </c>
      <c r="U186" t="s">
        <v>2301</v>
      </c>
      <c r="V186" s="178" t="s">
        <v>2604</v>
      </c>
      <c r="W186" s="178">
        <v>42586</v>
      </c>
      <c r="X186" s="6">
        <v>380000</v>
      </c>
      <c r="Y186" s="6">
        <f t="shared" si="18"/>
        <v>-87077</v>
      </c>
    </row>
    <row r="187" spans="1:26" x14ac:dyDescent="0.25">
      <c r="A187" s="176" t="s">
        <v>3895</v>
      </c>
      <c r="B187" t="s">
        <v>18</v>
      </c>
      <c r="C187" t="s">
        <v>2601</v>
      </c>
      <c r="D187" t="s">
        <v>3894</v>
      </c>
      <c r="E187" t="s">
        <v>1074</v>
      </c>
      <c r="F187" t="s">
        <v>3893</v>
      </c>
      <c r="G187" t="s">
        <v>117</v>
      </c>
      <c r="H187" s="4" t="s">
        <v>119</v>
      </c>
      <c r="I187" t="s">
        <v>2581</v>
      </c>
      <c r="J187" t="s">
        <v>877</v>
      </c>
      <c r="K187" s="6">
        <v>76807</v>
      </c>
      <c r="L187" s="6">
        <f t="shared" si="22"/>
        <v>19201.600000000002</v>
      </c>
      <c r="M187" s="6">
        <f t="shared" si="20"/>
        <v>-0.60000000000582077</v>
      </c>
      <c r="N187" s="6">
        <v>96008</v>
      </c>
      <c r="O187" s="184" t="s">
        <v>3892</v>
      </c>
      <c r="P187" s="176" t="s">
        <v>3891</v>
      </c>
      <c r="Q187" t="s">
        <v>3890</v>
      </c>
      <c r="R187" t="s">
        <v>3889</v>
      </c>
      <c r="S187" s="178">
        <v>42391</v>
      </c>
      <c r="U187" t="s">
        <v>1775</v>
      </c>
      <c r="V187" s="178" t="s">
        <v>2604</v>
      </c>
      <c r="W187" s="178">
        <v>42514</v>
      </c>
      <c r="X187" s="6">
        <v>70807</v>
      </c>
      <c r="Y187" s="6">
        <f t="shared" si="18"/>
        <v>6000</v>
      </c>
    </row>
    <row r="188" spans="1:26" x14ac:dyDescent="0.25">
      <c r="A188" s="176" t="s">
        <v>4572</v>
      </c>
      <c r="B188" t="s">
        <v>18</v>
      </c>
      <c r="C188" t="s">
        <v>2601</v>
      </c>
      <c r="D188" t="s">
        <v>408</v>
      </c>
      <c r="E188" t="s">
        <v>2802</v>
      </c>
      <c r="F188" t="s">
        <v>4571</v>
      </c>
      <c r="G188" t="s">
        <v>117</v>
      </c>
      <c r="H188" s="4" t="s">
        <v>119</v>
      </c>
      <c r="I188" t="s">
        <v>2581</v>
      </c>
      <c r="J188" t="s">
        <v>877</v>
      </c>
      <c r="K188" s="6">
        <v>104005</v>
      </c>
      <c r="L188" s="6">
        <f t="shared" si="22"/>
        <v>26001.200000000001</v>
      </c>
      <c r="M188" s="6">
        <f t="shared" si="20"/>
        <v>-0.19999999999708962</v>
      </c>
      <c r="N188" s="6">
        <v>130006</v>
      </c>
      <c r="O188" s="184" t="s">
        <v>4570</v>
      </c>
      <c r="P188" s="176" t="s">
        <v>4569</v>
      </c>
      <c r="Q188" t="s">
        <v>4568</v>
      </c>
      <c r="R188" t="s">
        <v>4567</v>
      </c>
      <c r="S188" s="178">
        <v>42318</v>
      </c>
      <c r="U188" s="186" t="s">
        <v>1775</v>
      </c>
      <c r="V188" s="178" t="s">
        <v>2571</v>
      </c>
      <c r="W188" s="178">
        <v>42318</v>
      </c>
      <c r="X188" s="6">
        <v>104005</v>
      </c>
      <c r="Y188" s="6">
        <f t="shared" si="18"/>
        <v>0</v>
      </c>
    </row>
    <row r="189" spans="1:26" x14ac:dyDescent="0.25">
      <c r="A189" s="176" t="s">
        <v>3852</v>
      </c>
      <c r="B189" t="s">
        <v>18</v>
      </c>
      <c r="C189" s="61" t="s">
        <v>2601</v>
      </c>
      <c r="D189" s="61" t="s">
        <v>408</v>
      </c>
      <c r="E189" s="61" t="s">
        <v>3851</v>
      </c>
      <c r="F189" s="15" t="s">
        <v>3850</v>
      </c>
      <c r="G189" s="61" t="s">
        <v>117</v>
      </c>
      <c r="H189" s="4" t="s">
        <v>119</v>
      </c>
      <c r="I189" s="4" t="s">
        <v>2581</v>
      </c>
      <c r="J189" s="4" t="s">
        <v>877</v>
      </c>
      <c r="K189" s="6">
        <v>115921</v>
      </c>
      <c r="L189" s="6">
        <f>K189*1.25-K189</f>
        <v>28980.25</v>
      </c>
      <c r="M189" s="6">
        <f t="shared" si="20"/>
        <v>-0.25</v>
      </c>
      <c r="N189" s="6">
        <v>144901</v>
      </c>
      <c r="O189" s="184" t="s">
        <v>3849</v>
      </c>
      <c r="P189" s="176" t="s">
        <v>3848</v>
      </c>
      <c r="Q189" s="22" t="s">
        <v>3847</v>
      </c>
      <c r="R189" t="s">
        <v>3846</v>
      </c>
      <c r="S189" s="178">
        <v>42514</v>
      </c>
      <c r="U189" t="s">
        <v>1775</v>
      </c>
      <c r="V189" s="178" t="s">
        <v>2571</v>
      </c>
      <c r="W189" s="178">
        <v>42514</v>
      </c>
      <c r="X189" s="6">
        <v>115921</v>
      </c>
      <c r="Y189" s="6">
        <f t="shared" si="18"/>
        <v>0</v>
      </c>
    </row>
    <row r="190" spans="1:26" x14ac:dyDescent="0.25">
      <c r="A190" s="176" t="s">
        <v>4234</v>
      </c>
      <c r="B190" t="s">
        <v>18</v>
      </c>
      <c r="C190" t="s">
        <v>2601</v>
      </c>
      <c r="D190" t="s">
        <v>3894</v>
      </c>
      <c r="E190" t="s">
        <v>41</v>
      </c>
      <c r="F190" s="4" t="s">
        <v>4233</v>
      </c>
      <c r="G190" t="s">
        <v>72</v>
      </c>
      <c r="H190" s="4" t="s">
        <v>1199</v>
      </c>
      <c r="I190" t="s">
        <v>2581</v>
      </c>
      <c r="J190" t="s">
        <v>877</v>
      </c>
      <c r="K190" s="6">
        <v>144664</v>
      </c>
      <c r="L190" s="6">
        <f t="shared" ref="L190:L198" si="23">N190*0.2</f>
        <v>36166</v>
      </c>
      <c r="M190" s="6">
        <f t="shared" si="20"/>
        <v>0</v>
      </c>
      <c r="N190" s="6">
        <v>180830</v>
      </c>
      <c r="O190" s="184" t="s">
        <v>4232</v>
      </c>
      <c r="P190" s="176" t="s">
        <v>4231</v>
      </c>
      <c r="Q190" t="s">
        <v>4235</v>
      </c>
      <c r="R190" t="s">
        <v>4229</v>
      </c>
      <c r="S190" s="178">
        <v>42326</v>
      </c>
      <c r="U190" t="s">
        <v>1775</v>
      </c>
      <c r="V190" s="178" t="s">
        <v>2604</v>
      </c>
      <c r="W190" s="178">
        <v>42432</v>
      </c>
      <c r="X190" s="6">
        <v>148000</v>
      </c>
      <c r="Y190" s="6">
        <f t="shared" si="18"/>
        <v>-3336</v>
      </c>
    </row>
    <row r="191" spans="1:26" x14ac:dyDescent="0.25">
      <c r="A191" s="176" t="s">
        <v>4234</v>
      </c>
      <c r="B191" t="s">
        <v>18</v>
      </c>
      <c r="C191" t="s">
        <v>2601</v>
      </c>
      <c r="D191" t="s">
        <v>3894</v>
      </c>
      <c r="E191" t="s">
        <v>41</v>
      </c>
      <c r="F191" s="4" t="s">
        <v>4233</v>
      </c>
      <c r="G191" t="s">
        <v>177</v>
      </c>
      <c r="H191" s="4" t="s">
        <v>178</v>
      </c>
      <c r="I191" t="s">
        <v>2581</v>
      </c>
      <c r="J191" t="s">
        <v>877</v>
      </c>
      <c r="K191" s="6">
        <v>22200</v>
      </c>
      <c r="L191" s="6">
        <f t="shared" si="23"/>
        <v>5550</v>
      </c>
      <c r="M191" s="6">
        <f t="shared" si="20"/>
        <v>0</v>
      </c>
      <c r="N191" s="6">
        <v>27750</v>
      </c>
      <c r="O191" s="184" t="s">
        <v>4232</v>
      </c>
      <c r="P191" s="176" t="s">
        <v>4231</v>
      </c>
      <c r="Q191" t="s">
        <v>4230</v>
      </c>
      <c r="R191" t="s">
        <v>4229</v>
      </c>
      <c r="S191" s="178">
        <v>42326</v>
      </c>
      <c r="U191" t="s">
        <v>1775</v>
      </c>
      <c r="V191" s="178" t="s">
        <v>2604</v>
      </c>
      <c r="W191" s="178">
        <v>42432</v>
      </c>
      <c r="X191" s="6">
        <v>22200</v>
      </c>
      <c r="Y191" s="6">
        <f t="shared" si="18"/>
        <v>0</v>
      </c>
    </row>
    <row r="192" spans="1:26" ht="30" x14ac:dyDescent="0.25">
      <c r="A192" s="176" t="s">
        <v>4394</v>
      </c>
      <c r="B192" t="s">
        <v>18</v>
      </c>
      <c r="C192" t="s">
        <v>2601</v>
      </c>
      <c r="D192" t="s">
        <v>4393</v>
      </c>
      <c r="E192" t="s">
        <v>41</v>
      </c>
      <c r="F192" s="4" t="s">
        <v>4392</v>
      </c>
      <c r="G192" t="s">
        <v>72</v>
      </c>
      <c r="H192" s="4" t="s">
        <v>3118</v>
      </c>
      <c r="I192" t="s">
        <v>2599</v>
      </c>
      <c r="J192" t="s">
        <v>881</v>
      </c>
      <c r="K192" s="6">
        <v>144000</v>
      </c>
      <c r="L192" s="6">
        <f t="shared" si="23"/>
        <v>36000</v>
      </c>
      <c r="M192" s="6">
        <f t="shared" si="20"/>
        <v>0</v>
      </c>
      <c r="N192" s="6">
        <v>180000</v>
      </c>
      <c r="O192" s="184" t="s">
        <v>4391</v>
      </c>
      <c r="P192" s="176" t="s">
        <v>4390</v>
      </c>
      <c r="Q192" t="s">
        <v>4389</v>
      </c>
      <c r="R192" t="s">
        <v>4388</v>
      </c>
      <c r="S192" s="178">
        <v>42384</v>
      </c>
      <c r="T192" s="178">
        <v>42433</v>
      </c>
      <c r="U192" t="s">
        <v>1775</v>
      </c>
      <c r="V192" s="178" t="s">
        <v>2571</v>
      </c>
      <c r="W192" s="178">
        <v>42384</v>
      </c>
      <c r="X192" s="6">
        <v>144000</v>
      </c>
      <c r="Y192" s="6">
        <f t="shared" si="18"/>
        <v>0</v>
      </c>
    </row>
    <row r="193" spans="1:26" ht="30" x14ac:dyDescent="0.25">
      <c r="A193" s="176" t="s">
        <v>4394</v>
      </c>
      <c r="B193" t="s">
        <v>18</v>
      </c>
      <c r="C193" t="s">
        <v>2601</v>
      </c>
      <c r="D193" t="s">
        <v>4393</v>
      </c>
      <c r="E193" t="s">
        <v>41</v>
      </c>
      <c r="F193" s="4" t="s">
        <v>4392</v>
      </c>
      <c r="G193" t="s">
        <v>177</v>
      </c>
      <c r="H193" s="4" t="s">
        <v>178</v>
      </c>
      <c r="I193" t="s">
        <v>2599</v>
      </c>
      <c r="J193" t="s">
        <v>881</v>
      </c>
      <c r="K193" s="6">
        <v>16000</v>
      </c>
      <c r="L193" s="6">
        <f t="shared" si="23"/>
        <v>4000</v>
      </c>
      <c r="M193" s="6">
        <f t="shared" si="20"/>
        <v>0</v>
      </c>
      <c r="N193" s="6">
        <v>20000</v>
      </c>
      <c r="O193" s="184" t="s">
        <v>4391</v>
      </c>
      <c r="P193" s="176" t="s">
        <v>4390</v>
      </c>
      <c r="Q193" t="s">
        <v>4389</v>
      </c>
      <c r="R193" t="s">
        <v>4388</v>
      </c>
      <c r="S193" s="178">
        <v>42384</v>
      </c>
      <c r="U193" t="s">
        <v>1775</v>
      </c>
      <c r="V193" s="178" t="s">
        <v>2571</v>
      </c>
      <c r="W193" s="178">
        <v>42384</v>
      </c>
      <c r="X193" s="6">
        <v>16000</v>
      </c>
      <c r="Y193" s="6">
        <f t="shared" si="18"/>
        <v>0</v>
      </c>
    </row>
    <row r="194" spans="1:26" x14ac:dyDescent="0.25">
      <c r="A194" s="176" t="s">
        <v>4260</v>
      </c>
      <c r="B194" t="s">
        <v>18</v>
      </c>
      <c r="C194" t="s">
        <v>2601</v>
      </c>
      <c r="D194" t="s">
        <v>4259</v>
      </c>
      <c r="E194" t="s">
        <v>4258</v>
      </c>
      <c r="F194" t="s">
        <v>4257</v>
      </c>
      <c r="G194" t="s">
        <v>117</v>
      </c>
      <c r="H194" s="4" t="s">
        <v>119</v>
      </c>
      <c r="I194" t="s">
        <v>2581</v>
      </c>
      <c r="J194" t="s">
        <v>877</v>
      </c>
      <c r="K194" s="6">
        <v>75323</v>
      </c>
      <c r="L194" s="6">
        <f t="shared" si="23"/>
        <v>18830.8</v>
      </c>
      <c r="M194" s="6">
        <f t="shared" si="20"/>
        <v>0.19999999999708962</v>
      </c>
      <c r="N194" s="6">
        <v>94154</v>
      </c>
      <c r="O194" s="184" t="s">
        <v>4256</v>
      </c>
      <c r="P194" s="176" t="s">
        <v>4255</v>
      </c>
      <c r="Q194" t="s">
        <v>4254</v>
      </c>
      <c r="R194" t="s">
        <v>4253</v>
      </c>
      <c r="S194" s="178">
        <v>42430</v>
      </c>
      <c r="U194" t="s">
        <v>1775</v>
      </c>
      <c r="V194" s="178" t="s">
        <v>2571</v>
      </c>
      <c r="W194" s="178">
        <v>42430</v>
      </c>
      <c r="X194" s="6">
        <v>75323</v>
      </c>
      <c r="Y194" s="6">
        <f t="shared" si="18"/>
        <v>0</v>
      </c>
    </row>
    <row r="195" spans="1:26" x14ac:dyDescent="0.25">
      <c r="A195" s="176" t="s">
        <v>3902</v>
      </c>
      <c r="B195" t="s">
        <v>18</v>
      </c>
      <c r="C195" t="s">
        <v>2601</v>
      </c>
      <c r="D195" t="s">
        <v>3894</v>
      </c>
      <c r="E195" t="s">
        <v>3901</v>
      </c>
      <c r="F195" t="s">
        <v>3900</v>
      </c>
      <c r="G195" t="s">
        <v>117</v>
      </c>
      <c r="H195" s="4" t="s">
        <v>119</v>
      </c>
      <c r="I195" t="s">
        <v>2581</v>
      </c>
      <c r="J195" t="s">
        <v>877</v>
      </c>
      <c r="K195" s="6">
        <v>145600</v>
      </c>
      <c r="L195" s="6">
        <f t="shared" si="23"/>
        <v>36720</v>
      </c>
      <c r="M195" s="6">
        <f t="shared" si="20"/>
        <v>1280</v>
      </c>
      <c r="N195" s="6">
        <v>183600</v>
      </c>
      <c r="O195" s="184" t="s">
        <v>3899</v>
      </c>
      <c r="P195" s="176" t="s">
        <v>3898</v>
      </c>
      <c r="Q195" t="s">
        <v>3897</v>
      </c>
      <c r="R195" t="s">
        <v>3896</v>
      </c>
      <c r="S195" s="178">
        <v>42326</v>
      </c>
      <c r="U195" t="s">
        <v>1775</v>
      </c>
      <c r="V195" s="178" t="s">
        <v>2604</v>
      </c>
      <c r="W195" s="178">
        <v>42513</v>
      </c>
      <c r="X195" s="6">
        <v>140892</v>
      </c>
      <c r="Y195" s="6">
        <f t="shared" si="18"/>
        <v>4708</v>
      </c>
    </row>
    <row r="196" spans="1:26" x14ac:dyDescent="0.25">
      <c r="A196" s="176" t="s">
        <v>4409</v>
      </c>
      <c r="B196" t="s">
        <v>18</v>
      </c>
      <c r="C196" t="s">
        <v>2601</v>
      </c>
      <c r="D196" t="s">
        <v>284</v>
      </c>
      <c r="E196" t="s">
        <v>4408</v>
      </c>
      <c r="F196" t="s">
        <v>4407</v>
      </c>
      <c r="G196" t="s">
        <v>117</v>
      </c>
      <c r="H196" s="4" t="s">
        <v>119</v>
      </c>
      <c r="I196" t="s">
        <v>2581</v>
      </c>
      <c r="J196" t="s">
        <v>877</v>
      </c>
      <c r="K196" s="6">
        <v>86402</v>
      </c>
      <c r="L196" s="6">
        <f t="shared" si="23"/>
        <v>21600.400000000001</v>
      </c>
      <c r="M196" s="6">
        <f t="shared" si="20"/>
        <v>-0.39999999999417923</v>
      </c>
      <c r="N196" s="6">
        <v>108002</v>
      </c>
      <c r="O196" s="184" t="s">
        <v>4406</v>
      </c>
      <c r="P196" s="176" t="s">
        <v>4405</v>
      </c>
      <c r="Q196" t="s">
        <v>4404</v>
      </c>
      <c r="R196" t="s">
        <v>4403</v>
      </c>
      <c r="S196" s="178">
        <v>42383</v>
      </c>
      <c r="U196" t="s">
        <v>1775</v>
      </c>
      <c r="V196" s="178" t="s">
        <v>2571</v>
      </c>
      <c r="W196" s="178">
        <v>42383</v>
      </c>
      <c r="X196" s="6">
        <v>86402</v>
      </c>
      <c r="Y196" s="6">
        <f t="shared" si="18"/>
        <v>0</v>
      </c>
    </row>
    <row r="197" spans="1:26" x14ac:dyDescent="0.25">
      <c r="A197" s="176" t="s">
        <v>3982</v>
      </c>
      <c r="B197" t="s">
        <v>90</v>
      </c>
      <c r="C197" t="s">
        <v>2601</v>
      </c>
      <c r="D197" t="s">
        <v>284</v>
      </c>
      <c r="E197" t="s">
        <v>982</v>
      </c>
      <c r="F197" s="4" t="s">
        <v>3981</v>
      </c>
      <c r="G197" t="s">
        <v>177</v>
      </c>
      <c r="I197" s="61" t="s">
        <v>3040</v>
      </c>
      <c r="J197" t="s">
        <v>877</v>
      </c>
      <c r="K197" s="6">
        <v>16000</v>
      </c>
      <c r="L197" s="6">
        <f t="shared" si="23"/>
        <v>4000</v>
      </c>
      <c r="M197" s="6">
        <f t="shared" si="20"/>
        <v>0</v>
      </c>
      <c r="N197" s="6">
        <v>20000</v>
      </c>
      <c r="O197" s="184" t="s">
        <v>3980</v>
      </c>
      <c r="P197" s="176" t="s">
        <v>3979</v>
      </c>
      <c r="Q197" t="s">
        <v>3978</v>
      </c>
      <c r="R197" t="s">
        <v>3977</v>
      </c>
      <c r="S197" s="178">
        <v>42488</v>
      </c>
      <c r="T197" s="178">
        <v>42531</v>
      </c>
      <c r="U197" t="s">
        <v>1775</v>
      </c>
      <c r="V197" s="178" t="s">
        <v>2571</v>
      </c>
      <c r="W197" s="178">
        <v>42488</v>
      </c>
      <c r="X197" s="6">
        <v>16000</v>
      </c>
      <c r="Y197" s="6">
        <f t="shared" si="18"/>
        <v>0</v>
      </c>
    </row>
    <row r="198" spans="1:26" x14ac:dyDescent="0.25">
      <c r="A198" s="176" t="s">
        <v>3982</v>
      </c>
      <c r="B198" t="s">
        <v>90</v>
      </c>
      <c r="C198" t="s">
        <v>2601</v>
      </c>
      <c r="D198" t="s">
        <v>284</v>
      </c>
      <c r="E198" t="s">
        <v>982</v>
      </c>
      <c r="F198" s="4" t="s">
        <v>3981</v>
      </c>
      <c r="G198" t="s">
        <v>72</v>
      </c>
      <c r="H198" s="4" t="s">
        <v>3780</v>
      </c>
      <c r="I198" s="61" t="s">
        <v>3040</v>
      </c>
      <c r="J198" t="s">
        <v>877</v>
      </c>
      <c r="K198" s="6">
        <v>144000</v>
      </c>
      <c r="L198" s="6">
        <f t="shared" si="23"/>
        <v>36000</v>
      </c>
      <c r="M198" s="6">
        <f t="shared" si="20"/>
        <v>0</v>
      </c>
      <c r="N198" s="6">
        <v>180000</v>
      </c>
      <c r="O198" s="184" t="s">
        <v>3980</v>
      </c>
      <c r="P198" s="176" t="s">
        <v>3979</v>
      </c>
      <c r="Q198" t="s">
        <v>3978</v>
      </c>
      <c r="R198" t="s">
        <v>3977</v>
      </c>
      <c r="S198" s="178">
        <v>42488</v>
      </c>
      <c r="T198" s="178">
        <v>42531</v>
      </c>
      <c r="U198" t="s">
        <v>1775</v>
      </c>
      <c r="V198" s="178" t="s">
        <v>2571</v>
      </c>
      <c r="W198" s="178">
        <v>42488</v>
      </c>
      <c r="X198" s="6">
        <v>144000</v>
      </c>
      <c r="Y198" s="6">
        <f t="shared" si="18"/>
        <v>0</v>
      </c>
    </row>
    <row r="199" spans="1:26" x14ac:dyDescent="0.25">
      <c r="A199" s="176" t="s">
        <v>3866</v>
      </c>
      <c r="B199" t="s">
        <v>18</v>
      </c>
      <c r="C199" s="61" t="s">
        <v>2601</v>
      </c>
      <c r="D199" s="61" t="s">
        <v>3187</v>
      </c>
      <c r="E199" s="61" t="s">
        <v>3865</v>
      </c>
      <c r="F199" s="15" t="s">
        <v>3864</v>
      </c>
      <c r="G199" s="61" t="s">
        <v>117</v>
      </c>
      <c r="H199" s="4" t="s">
        <v>119</v>
      </c>
      <c r="I199" s="4" t="s">
        <v>2581</v>
      </c>
      <c r="J199" s="4" t="s">
        <v>877</v>
      </c>
      <c r="K199" s="6">
        <v>199980</v>
      </c>
      <c r="L199" s="6">
        <f>K199*1.25-K199</f>
        <v>49995</v>
      </c>
      <c r="M199" s="6">
        <f t="shared" si="20"/>
        <v>0</v>
      </c>
      <c r="N199" s="6">
        <v>249975</v>
      </c>
      <c r="O199" s="184" t="s">
        <v>3863</v>
      </c>
      <c r="P199" s="176" t="s">
        <v>3862</v>
      </c>
      <c r="Q199" s="21" t="s">
        <v>3861</v>
      </c>
      <c r="R199" t="s">
        <v>3860</v>
      </c>
      <c r="S199" s="178">
        <v>42514</v>
      </c>
      <c r="U199" t="s">
        <v>1775</v>
      </c>
      <c r="V199" s="178" t="s">
        <v>2571</v>
      </c>
      <c r="W199" s="178">
        <v>42514</v>
      </c>
      <c r="X199" s="6">
        <v>199980</v>
      </c>
      <c r="Y199" s="6">
        <f t="shared" si="18"/>
        <v>0</v>
      </c>
    </row>
    <row r="200" spans="1:26" x14ac:dyDescent="0.25">
      <c r="A200" s="176" t="s">
        <v>2709</v>
      </c>
      <c r="B200" t="s">
        <v>18</v>
      </c>
      <c r="C200" t="s">
        <v>2601</v>
      </c>
      <c r="D200" s="4" t="s">
        <v>919</v>
      </c>
      <c r="E200" s="4" t="s">
        <v>2708</v>
      </c>
      <c r="F200" s="4" t="s">
        <v>2707</v>
      </c>
      <c r="G200" s="4" t="s">
        <v>117</v>
      </c>
      <c r="H200" s="4" t="s">
        <v>119</v>
      </c>
      <c r="I200" s="4" t="s">
        <v>2581</v>
      </c>
      <c r="J200" s="4" t="s">
        <v>877</v>
      </c>
      <c r="K200" s="6">
        <v>26989</v>
      </c>
      <c r="L200" s="6">
        <f>N200*0.2</f>
        <v>6747.2000000000007</v>
      </c>
      <c r="M200" s="6">
        <f t="shared" si="20"/>
        <v>-0.19999999999708962</v>
      </c>
      <c r="N200" s="6">
        <v>33736</v>
      </c>
      <c r="O200" s="184" t="s">
        <v>2706</v>
      </c>
      <c r="P200" s="176" t="s">
        <v>2705</v>
      </c>
      <c r="Q200" t="s">
        <v>2704</v>
      </c>
      <c r="R200" t="s">
        <v>2703</v>
      </c>
      <c r="S200" s="178">
        <v>42634</v>
      </c>
      <c r="T200" s="178"/>
      <c r="U200" t="s">
        <v>1775</v>
      </c>
      <c r="V200" t="s">
        <v>2571</v>
      </c>
      <c r="W200" s="178">
        <v>42634</v>
      </c>
      <c r="X200" s="6">
        <v>26989</v>
      </c>
      <c r="Y200" s="6">
        <f t="shared" si="18"/>
        <v>0</v>
      </c>
    </row>
    <row r="201" spans="1:26" x14ac:dyDescent="0.25">
      <c r="A201" s="176" t="s">
        <v>4023</v>
      </c>
      <c r="B201" t="s">
        <v>18</v>
      </c>
      <c r="C201" t="s">
        <v>2601</v>
      </c>
      <c r="D201" t="s">
        <v>284</v>
      </c>
      <c r="E201" t="s">
        <v>4022</v>
      </c>
      <c r="F201" t="s">
        <v>3900</v>
      </c>
      <c r="G201" t="s">
        <v>117</v>
      </c>
      <c r="H201" s="4" t="s">
        <v>119</v>
      </c>
      <c r="I201" t="s">
        <v>2581</v>
      </c>
      <c r="J201" t="s">
        <v>877</v>
      </c>
      <c r="K201" s="6">
        <v>248998</v>
      </c>
      <c r="L201" s="6">
        <f>N201*0.2</f>
        <v>62249.4</v>
      </c>
      <c r="M201" s="6">
        <f t="shared" si="20"/>
        <v>-0.40000000002328306</v>
      </c>
      <c r="N201" s="6">
        <v>311247</v>
      </c>
      <c r="O201" s="184" t="s">
        <v>4021</v>
      </c>
      <c r="P201" s="176" t="s">
        <v>4020</v>
      </c>
      <c r="Q201" t="s">
        <v>4019</v>
      </c>
      <c r="R201" t="s">
        <v>4018</v>
      </c>
      <c r="S201" s="178">
        <v>42485</v>
      </c>
      <c r="U201" t="s">
        <v>1775</v>
      </c>
      <c r="V201" s="178" t="s">
        <v>2571</v>
      </c>
      <c r="W201" s="178">
        <v>42485</v>
      </c>
      <c r="X201" s="6">
        <v>248998</v>
      </c>
      <c r="Y201" s="6">
        <f t="shared" si="18"/>
        <v>0</v>
      </c>
    </row>
    <row r="202" spans="1:26" x14ac:dyDescent="0.25">
      <c r="A202" s="176" t="s">
        <v>4477</v>
      </c>
      <c r="B202" t="s">
        <v>90</v>
      </c>
      <c r="C202" t="s">
        <v>2815</v>
      </c>
      <c r="D202" t="s">
        <v>264</v>
      </c>
      <c r="E202" t="s">
        <v>989</v>
      </c>
      <c r="F202" t="s">
        <v>4476</v>
      </c>
      <c r="G202" t="s">
        <v>72</v>
      </c>
      <c r="H202" s="4" t="s">
        <v>75</v>
      </c>
      <c r="I202" t="s">
        <v>1276</v>
      </c>
      <c r="J202" t="s">
        <v>871</v>
      </c>
      <c r="K202" s="6">
        <v>540000</v>
      </c>
      <c r="L202" s="6">
        <f>N202*0.1</f>
        <v>60000</v>
      </c>
      <c r="M202" s="6">
        <f t="shared" si="20"/>
        <v>0</v>
      </c>
      <c r="N202" s="6">
        <v>600000</v>
      </c>
      <c r="O202" s="184" t="s">
        <v>4475</v>
      </c>
      <c r="P202" s="176" t="s">
        <v>4474</v>
      </c>
      <c r="Q202" t="s">
        <v>4478</v>
      </c>
      <c r="R202" t="s">
        <v>4472</v>
      </c>
      <c r="S202" s="178">
        <v>42340</v>
      </c>
      <c r="T202" s="178">
        <v>42384</v>
      </c>
      <c r="U202" t="s">
        <v>1775</v>
      </c>
      <c r="V202" s="178" t="s">
        <v>2571</v>
      </c>
      <c r="W202" s="178">
        <v>42340</v>
      </c>
      <c r="X202" s="6">
        <v>540000</v>
      </c>
      <c r="Y202" s="6">
        <f t="shared" si="18"/>
        <v>0</v>
      </c>
    </row>
    <row r="203" spans="1:26" x14ac:dyDescent="0.25">
      <c r="A203" s="176" t="s">
        <v>4477</v>
      </c>
      <c r="B203" t="s">
        <v>90</v>
      </c>
      <c r="C203" t="s">
        <v>2815</v>
      </c>
      <c r="D203" t="s">
        <v>264</v>
      </c>
      <c r="E203" t="s">
        <v>989</v>
      </c>
      <c r="F203" t="s">
        <v>4476</v>
      </c>
      <c r="G203" t="s">
        <v>177</v>
      </c>
      <c r="H203" s="4" t="s">
        <v>178</v>
      </c>
      <c r="I203" t="s">
        <v>1276</v>
      </c>
      <c r="J203" t="s">
        <v>871</v>
      </c>
      <c r="K203" s="6">
        <v>54000</v>
      </c>
      <c r="L203" s="6">
        <f>N203*0.1</f>
        <v>6000</v>
      </c>
      <c r="M203" s="6">
        <f t="shared" si="20"/>
        <v>0</v>
      </c>
      <c r="N203" s="6">
        <v>60000</v>
      </c>
      <c r="O203" s="184" t="s">
        <v>4475</v>
      </c>
      <c r="P203" s="176" t="s">
        <v>4474</v>
      </c>
      <c r="Q203" t="s">
        <v>4473</v>
      </c>
      <c r="R203" t="s">
        <v>4472</v>
      </c>
      <c r="S203" s="178">
        <v>42340</v>
      </c>
      <c r="U203" t="s">
        <v>1775</v>
      </c>
      <c r="V203" s="178" t="s">
        <v>2571</v>
      </c>
      <c r="W203" s="178">
        <v>42340</v>
      </c>
      <c r="X203" s="6">
        <v>54000</v>
      </c>
      <c r="Y203" s="6">
        <f t="shared" si="18"/>
        <v>0</v>
      </c>
    </row>
    <row r="204" spans="1:26" ht="30" x14ac:dyDescent="0.25">
      <c r="A204" s="188" t="s">
        <v>3294</v>
      </c>
      <c r="B204" t="s">
        <v>90</v>
      </c>
      <c r="C204" s="61" t="s">
        <v>2815</v>
      </c>
      <c r="D204" s="15" t="s">
        <v>2008</v>
      </c>
      <c r="E204" s="61" t="s">
        <v>977</v>
      </c>
      <c r="F204" s="15" t="s">
        <v>3293</v>
      </c>
      <c r="G204" s="61" t="s">
        <v>177</v>
      </c>
      <c r="H204" s="15" t="s">
        <v>178</v>
      </c>
      <c r="I204" s="4" t="s">
        <v>3040</v>
      </c>
      <c r="J204" s="15" t="s">
        <v>877</v>
      </c>
      <c r="K204" s="183">
        <v>201600</v>
      </c>
      <c r="L204" s="183">
        <f>K204*1.25-K204</f>
        <v>50400</v>
      </c>
      <c r="M204" s="183">
        <f t="shared" si="20"/>
        <v>0</v>
      </c>
      <c r="N204" s="183">
        <v>252000</v>
      </c>
      <c r="O204" s="189" t="s">
        <v>3292</v>
      </c>
      <c r="P204" s="188" t="s">
        <v>3291</v>
      </c>
      <c r="Q204" s="61" t="s">
        <v>3290</v>
      </c>
      <c r="R204" s="61" t="s">
        <v>3289</v>
      </c>
      <c r="S204" s="185">
        <v>42571</v>
      </c>
      <c r="T204" s="61"/>
      <c r="U204" s="61" t="s">
        <v>1775</v>
      </c>
      <c r="V204" s="185" t="s">
        <v>2571</v>
      </c>
      <c r="W204" s="185">
        <v>42571</v>
      </c>
      <c r="X204" s="183">
        <v>201600</v>
      </c>
      <c r="Y204" s="183">
        <f t="shared" si="18"/>
        <v>0</v>
      </c>
      <c r="Z204" s="61"/>
    </row>
    <row r="205" spans="1:26" ht="30" x14ac:dyDescent="0.25">
      <c r="A205" s="188" t="s">
        <v>3294</v>
      </c>
      <c r="B205" t="s">
        <v>90</v>
      </c>
      <c r="C205" s="61" t="s">
        <v>2815</v>
      </c>
      <c r="D205" s="15" t="s">
        <v>2008</v>
      </c>
      <c r="E205" s="61" t="s">
        <v>977</v>
      </c>
      <c r="F205" s="15" t="s">
        <v>3293</v>
      </c>
      <c r="G205" s="61" t="s">
        <v>72</v>
      </c>
      <c r="H205" s="4" t="s">
        <v>2609</v>
      </c>
      <c r="I205" s="4" t="s">
        <v>3040</v>
      </c>
      <c r="J205" s="15" t="s">
        <v>877</v>
      </c>
      <c r="K205" s="6">
        <f>2016000-K204</f>
        <v>1814400</v>
      </c>
      <c r="L205" s="6">
        <f>K205*1.25-K205</f>
        <v>453600</v>
      </c>
      <c r="M205" s="6">
        <f t="shared" si="20"/>
        <v>0</v>
      </c>
      <c r="N205" s="6">
        <f>2520000-N204</f>
        <v>2268000</v>
      </c>
      <c r="O205" s="189" t="s">
        <v>3292</v>
      </c>
      <c r="P205" s="188" t="s">
        <v>3291</v>
      </c>
      <c r="Q205" s="61" t="s">
        <v>3290</v>
      </c>
      <c r="R205" s="61" t="s">
        <v>3289</v>
      </c>
      <c r="S205" s="178">
        <v>42571</v>
      </c>
      <c r="U205" s="61" t="s">
        <v>1775</v>
      </c>
      <c r="V205" s="178" t="s">
        <v>2571</v>
      </c>
      <c r="W205" s="178">
        <v>42571</v>
      </c>
      <c r="X205" s="6">
        <v>1814400</v>
      </c>
      <c r="Y205" s="6">
        <f t="shared" si="18"/>
        <v>0</v>
      </c>
    </row>
    <row r="206" spans="1:26" x14ac:dyDescent="0.25">
      <c r="A206" s="176" t="s">
        <v>425</v>
      </c>
      <c r="B206" t="s">
        <v>90</v>
      </c>
      <c r="C206" t="s">
        <v>2815</v>
      </c>
      <c r="D206" t="s">
        <v>264</v>
      </c>
      <c r="E206" t="s">
        <v>4321</v>
      </c>
      <c r="F206" t="s">
        <v>4320</v>
      </c>
      <c r="G206" t="s">
        <v>72</v>
      </c>
      <c r="H206" s="4" t="s">
        <v>75</v>
      </c>
      <c r="I206" s="61" t="s">
        <v>3040</v>
      </c>
      <c r="J206" s="4" t="s">
        <v>877</v>
      </c>
      <c r="K206" s="6">
        <f>1332638+157396</f>
        <v>1490034</v>
      </c>
      <c r="L206" s="6">
        <f>N206*0.2</f>
        <v>372508.60000000003</v>
      </c>
      <c r="M206" s="6">
        <f t="shared" si="20"/>
        <v>0.39999999990686774</v>
      </c>
      <c r="N206" s="6">
        <f>1665798+196745</f>
        <v>1862543</v>
      </c>
      <c r="O206" s="184" t="s">
        <v>4319</v>
      </c>
      <c r="P206" s="176" t="s">
        <v>4318</v>
      </c>
      <c r="Q206" t="s">
        <v>4323</v>
      </c>
      <c r="R206" t="s">
        <v>4316</v>
      </c>
      <c r="S206" s="178">
        <v>42396</v>
      </c>
      <c r="T206" s="178">
        <v>42433</v>
      </c>
      <c r="U206" t="s">
        <v>1775</v>
      </c>
      <c r="V206" s="178" t="s">
        <v>2571</v>
      </c>
      <c r="W206" s="178">
        <v>42396</v>
      </c>
      <c r="X206" s="6">
        <v>1408000</v>
      </c>
      <c r="Y206" s="6">
        <f t="shared" ref="Y206:Y269" si="24">K206-X206</f>
        <v>82034</v>
      </c>
    </row>
    <row r="207" spans="1:26" x14ac:dyDescent="0.25">
      <c r="A207" s="176" t="s">
        <v>425</v>
      </c>
      <c r="B207" t="s">
        <v>90</v>
      </c>
      <c r="C207" t="s">
        <v>2815</v>
      </c>
      <c r="D207" t="s">
        <v>264</v>
      </c>
      <c r="E207" t="s">
        <v>4321</v>
      </c>
      <c r="F207" t="s">
        <v>4320</v>
      </c>
      <c r="G207" t="s">
        <v>72</v>
      </c>
      <c r="H207" s="4" t="s">
        <v>2791</v>
      </c>
      <c r="I207" t="s">
        <v>83</v>
      </c>
      <c r="J207" s="4" t="s">
        <v>18</v>
      </c>
      <c r="K207" s="6">
        <v>0</v>
      </c>
      <c r="L207" s="6">
        <v>0</v>
      </c>
      <c r="M207" s="6">
        <f t="shared" si="20"/>
        <v>16544</v>
      </c>
      <c r="N207" s="6">
        <f>7544+9000</f>
        <v>16544</v>
      </c>
      <c r="O207" s="184" t="s">
        <v>4319</v>
      </c>
      <c r="P207" s="176" t="s">
        <v>4318</v>
      </c>
      <c r="Q207" t="s">
        <v>4323</v>
      </c>
      <c r="R207" t="s">
        <v>4316</v>
      </c>
      <c r="S207" s="178">
        <v>42396</v>
      </c>
      <c r="T207" s="178">
        <v>42433</v>
      </c>
      <c r="U207" t="s">
        <v>1775</v>
      </c>
      <c r="V207" s="178" t="s">
        <v>2571</v>
      </c>
      <c r="W207" s="178">
        <v>42396</v>
      </c>
      <c r="X207" s="6">
        <v>0</v>
      </c>
      <c r="Y207" s="6">
        <f t="shared" si="24"/>
        <v>0</v>
      </c>
      <c r="Z207" t="s">
        <v>4322</v>
      </c>
    </row>
    <row r="208" spans="1:26" x14ac:dyDescent="0.25">
      <c r="A208" s="176" t="s">
        <v>425</v>
      </c>
      <c r="B208" t="s">
        <v>90</v>
      </c>
      <c r="C208" t="s">
        <v>2815</v>
      </c>
      <c r="D208" t="s">
        <v>264</v>
      </c>
      <c r="E208" t="s">
        <v>4321</v>
      </c>
      <c r="F208" t="s">
        <v>4320</v>
      </c>
      <c r="G208" t="s">
        <v>177</v>
      </c>
      <c r="H208" s="4" t="s">
        <v>178</v>
      </c>
      <c r="I208" s="61" t="s">
        <v>3040</v>
      </c>
      <c r="J208" s="4" t="s">
        <v>877</v>
      </c>
      <c r="K208" s="6">
        <v>223505</v>
      </c>
      <c r="L208" s="6">
        <f>N208*0.2</f>
        <v>55876.200000000004</v>
      </c>
      <c r="M208" s="6">
        <f t="shared" si="20"/>
        <v>-0.20000000001164153</v>
      </c>
      <c r="N208" s="6">
        <v>279381</v>
      </c>
      <c r="O208" s="184" t="s">
        <v>4319</v>
      </c>
      <c r="P208" s="176" t="s">
        <v>4318</v>
      </c>
      <c r="Q208" t="s">
        <v>4317</v>
      </c>
      <c r="R208" t="s">
        <v>4316</v>
      </c>
      <c r="S208" s="178">
        <v>42396</v>
      </c>
      <c r="U208" t="s">
        <v>1775</v>
      </c>
      <c r="V208" s="178" t="s">
        <v>2571</v>
      </c>
      <c r="W208" s="178">
        <v>42396</v>
      </c>
      <c r="X208" s="6">
        <v>160000</v>
      </c>
      <c r="Y208" s="6">
        <f t="shared" si="24"/>
        <v>63505</v>
      </c>
    </row>
    <row r="209" spans="1:26" ht="30" x14ac:dyDescent="0.25">
      <c r="A209" s="188" t="s">
        <v>3620</v>
      </c>
      <c r="B209" t="s">
        <v>18</v>
      </c>
      <c r="C209" s="61" t="s">
        <v>2815</v>
      </c>
      <c r="D209" s="61" t="s">
        <v>3619</v>
      </c>
      <c r="E209" s="15" t="s">
        <v>3618</v>
      </c>
      <c r="F209" s="61" t="s">
        <v>3618</v>
      </c>
      <c r="G209" s="61" t="s">
        <v>117</v>
      </c>
      <c r="H209" s="15" t="s">
        <v>119</v>
      </c>
      <c r="I209" s="15" t="s">
        <v>2599</v>
      </c>
      <c r="J209" s="15" t="s">
        <v>3617</v>
      </c>
      <c r="K209" s="183">
        <v>5900</v>
      </c>
      <c r="L209" s="183">
        <v>0</v>
      </c>
      <c r="M209" s="183">
        <f t="shared" si="20"/>
        <v>0</v>
      </c>
      <c r="N209" s="183">
        <v>5900</v>
      </c>
      <c r="O209" s="189" t="s">
        <v>3616</v>
      </c>
      <c r="P209" s="188" t="s">
        <v>3615</v>
      </c>
      <c r="Q209" s="187" t="s">
        <v>3614</v>
      </c>
      <c r="R209" s="61" t="s">
        <v>3613</v>
      </c>
      <c r="S209" s="185">
        <v>42544</v>
      </c>
      <c r="T209" s="61"/>
      <c r="U209" s="61" t="s">
        <v>1775</v>
      </c>
      <c r="V209" s="185" t="s">
        <v>2571</v>
      </c>
      <c r="W209" s="185">
        <v>42544</v>
      </c>
      <c r="X209" s="183">
        <v>5900</v>
      </c>
      <c r="Y209" s="183">
        <f t="shared" si="24"/>
        <v>0</v>
      </c>
      <c r="Z209" s="61"/>
    </row>
    <row r="210" spans="1:26" ht="30" x14ac:dyDescent="0.25">
      <c r="A210" s="176" t="s">
        <v>4566</v>
      </c>
      <c r="B210" t="s">
        <v>18</v>
      </c>
      <c r="C210" t="s">
        <v>2815</v>
      </c>
      <c r="D210" t="s">
        <v>3619</v>
      </c>
      <c r="E210" s="4" t="s">
        <v>4565</v>
      </c>
      <c r="F210" t="s">
        <v>4565</v>
      </c>
      <c r="G210" t="s">
        <v>117</v>
      </c>
      <c r="H210" s="4" t="s">
        <v>4564</v>
      </c>
      <c r="I210" t="s">
        <v>2599</v>
      </c>
      <c r="J210" t="s">
        <v>3617</v>
      </c>
      <c r="K210" s="6">
        <v>12450</v>
      </c>
      <c r="L210" s="6">
        <v>0</v>
      </c>
      <c r="M210" s="6">
        <f t="shared" si="20"/>
        <v>0</v>
      </c>
      <c r="N210" s="6">
        <v>12450</v>
      </c>
      <c r="O210" s="184" t="s">
        <v>4563</v>
      </c>
      <c r="P210" s="176" t="s">
        <v>4562</v>
      </c>
      <c r="Q210" t="s">
        <v>4561</v>
      </c>
      <c r="R210" t="s">
        <v>4560</v>
      </c>
      <c r="S210" s="178">
        <v>42318</v>
      </c>
      <c r="U210" s="186" t="s">
        <v>1775</v>
      </c>
      <c r="V210" s="178" t="s">
        <v>2571</v>
      </c>
      <c r="W210" s="178">
        <v>42318</v>
      </c>
      <c r="X210" s="6">
        <v>12450</v>
      </c>
      <c r="Y210" s="6">
        <f t="shared" si="24"/>
        <v>0</v>
      </c>
    </row>
    <row r="211" spans="1:26" x14ac:dyDescent="0.25">
      <c r="A211" s="176" t="s">
        <v>3458</v>
      </c>
      <c r="B211" t="s">
        <v>18</v>
      </c>
      <c r="C211" t="s">
        <v>2815</v>
      </c>
      <c r="D211" t="s">
        <v>3457</v>
      </c>
      <c r="E211" t="s">
        <v>3456</v>
      </c>
      <c r="F211" t="s">
        <v>3455</v>
      </c>
      <c r="G211" t="s">
        <v>212</v>
      </c>
      <c r="H211" s="4" t="s">
        <v>213</v>
      </c>
      <c r="I211" t="s">
        <v>1277</v>
      </c>
      <c r="J211" t="s">
        <v>882</v>
      </c>
      <c r="K211" s="6">
        <v>75490</v>
      </c>
      <c r="L211" s="6">
        <f>N211*0.2</f>
        <v>18872.400000000001</v>
      </c>
      <c r="M211" s="6">
        <f t="shared" si="20"/>
        <v>-0.39999999999417923</v>
      </c>
      <c r="N211" s="6">
        <v>94362</v>
      </c>
      <c r="O211" s="184" t="s">
        <v>3454</v>
      </c>
      <c r="P211" s="176" t="s">
        <v>3453</v>
      </c>
      <c r="Q211" t="s">
        <v>3452</v>
      </c>
      <c r="R211" t="s">
        <v>3451</v>
      </c>
      <c r="S211" s="178">
        <v>42395</v>
      </c>
      <c r="U211" t="s">
        <v>2301</v>
      </c>
      <c r="V211" s="178" t="s">
        <v>2604</v>
      </c>
      <c r="W211" s="178">
        <v>42565</v>
      </c>
      <c r="X211" s="6">
        <v>75490</v>
      </c>
      <c r="Y211" s="6">
        <f t="shared" si="24"/>
        <v>0</v>
      </c>
      <c r="Z211" s="15"/>
    </row>
    <row r="212" spans="1:26" ht="30" x14ac:dyDescent="0.25">
      <c r="A212" s="176" t="s">
        <v>3596</v>
      </c>
      <c r="B212" t="s">
        <v>18</v>
      </c>
      <c r="C212" t="s">
        <v>2815</v>
      </c>
      <c r="D212" t="s">
        <v>416</v>
      </c>
      <c r="E212" t="s">
        <v>1074</v>
      </c>
      <c r="F212" t="s">
        <v>3595</v>
      </c>
      <c r="G212" t="s">
        <v>117</v>
      </c>
      <c r="H212" s="4" t="s">
        <v>119</v>
      </c>
      <c r="I212" s="4" t="s">
        <v>2781</v>
      </c>
      <c r="J212" t="s">
        <v>887</v>
      </c>
      <c r="K212" s="6">
        <v>0</v>
      </c>
      <c r="L212" s="6">
        <v>0</v>
      </c>
      <c r="M212" s="6">
        <v>0</v>
      </c>
      <c r="N212" s="6">
        <v>0</v>
      </c>
      <c r="O212" s="184" t="s">
        <v>4026</v>
      </c>
      <c r="P212" s="176" t="s">
        <v>3593</v>
      </c>
      <c r="Q212" t="s">
        <v>3592</v>
      </c>
      <c r="R212" t="s">
        <v>3591</v>
      </c>
      <c r="S212" s="178">
        <v>42453</v>
      </c>
      <c r="U212" t="s">
        <v>2570</v>
      </c>
      <c r="V212" s="178" t="s">
        <v>4025</v>
      </c>
      <c r="W212" s="178">
        <v>42482</v>
      </c>
      <c r="X212" s="6">
        <v>145173</v>
      </c>
      <c r="Y212" s="6">
        <f t="shared" si="24"/>
        <v>-145173</v>
      </c>
      <c r="Z212" t="s">
        <v>4024</v>
      </c>
    </row>
    <row r="213" spans="1:26" ht="30" x14ac:dyDescent="0.25">
      <c r="A213" s="176" t="s">
        <v>3596</v>
      </c>
      <c r="B213" t="s">
        <v>18</v>
      </c>
      <c r="C213" t="s">
        <v>2815</v>
      </c>
      <c r="D213" t="s">
        <v>416</v>
      </c>
      <c r="E213" t="s">
        <v>1074</v>
      </c>
      <c r="F213" t="s">
        <v>3595</v>
      </c>
      <c r="G213" t="s">
        <v>117</v>
      </c>
      <c r="H213" s="4" t="s">
        <v>119</v>
      </c>
      <c r="I213" s="4" t="s">
        <v>2781</v>
      </c>
      <c r="J213" t="s">
        <v>887</v>
      </c>
      <c r="K213" s="6">
        <v>145173</v>
      </c>
      <c r="L213" s="6">
        <f>N213*0.2</f>
        <v>36293.200000000004</v>
      </c>
      <c r="M213" s="6">
        <f t="shared" ref="M213:M255" si="25">N213-(K213+L213)</f>
        <v>-0.20000000001164153</v>
      </c>
      <c r="N213" s="6">
        <v>181466</v>
      </c>
      <c r="O213" s="184" t="s">
        <v>3594</v>
      </c>
      <c r="P213" s="176" t="s">
        <v>3593</v>
      </c>
      <c r="Q213" t="s">
        <v>3592</v>
      </c>
      <c r="R213" t="s">
        <v>3591</v>
      </c>
      <c r="S213" s="178">
        <v>42544</v>
      </c>
      <c r="U213" t="s">
        <v>1775</v>
      </c>
      <c r="V213" s="178" t="s">
        <v>2571</v>
      </c>
      <c r="W213" s="178">
        <v>42544</v>
      </c>
      <c r="X213" s="6">
        <v>145173</v>
      </c>
      <c r="Y213" s="6">
        <f t="shared" si="24"/>
        <v>0</v>
      </c>
    </row>
    <row r="214" spans="1:26" x14ac:dyDescent="0.25">
      <c r="A214" s="176" t="s">
        <v>2816</v>
      </c>
      <c r="B214" t="s">
        <v>18</v>
      </c>
      <c r="C214" t="s">
        <v>2815</v>
      </c>
      <c r="D214" t="s">
        <v>966</v>
      </c>
      <c r="E214" t="s">
        <v>2814</v>
      </c>
      <c r="F214" t="s">
        <v>2813</v>
      </c>
      <c r="G214" t="s">
        <v>117</v>
      </c>
      <c r="H214" s="4" t="s">
        <v>119</v>
      </c>
      <c r="I214" t="s">
        <v>2581</v>
      </c>
      <c r="J214" t="s">
        <v>877</v>
      </c>
      <c r="K214" s="6">
        <v>87261</v>
      </c>
      <c r="L214" s="6">
        <f>N214*0.1</f>
        <v>10907.6</v>
      </c>
      <c r="M214" s="6">
        <f t="shared" si="25"/>
        <v>10907.399999999994</v>
      </c>
      <c r="N214" s="6">
        <v>109076</v>
      </c>
      <c r="O214" s="184" t="s">
        <v>3071</v>
      </c>
      <c r="P214" s="176" t="s">
        <v>3070</v>
      </c>
      <c r="Q214" t="s">
        <v>3069</v>
      </c>
      <c r="R214" t="s">
        <v>2809</v>
      </c>
      <c r="S214" s="178">
        <v>42324</v>
      </c>
      <c r="U214" s="186" t="s">
        <v>2301</v>
      </c>
      <c r="V214" s="178" t="s">
        <v>2604</v>
      </c>
      <c r="W214" s="178">
        <v>42593</v>
      </c>
      <c r="X214" s="6">
        <v>87261</v>
      </c>
      <c r="Y214" s="6">
        <f t="shared" si="24"/>
        <v>0</v>
      </c>
    </row>
    <row r="215" spans="1:26" x14ac:dyDescent="0.25">
      <c r="A215" s="176" t="s">
        <v>2816</v>
      </c>
      <c r="B215" t="s">
        <v>18</v>
      </c>
      <c r="C215" t="s">
        <v>2815</v>
      </c>
      <c r="D215" s="4" t="s">
        <v>966</v>
      </c>
      <c r="E215" s="4" t="s">
        <v>2814</v>
      </c>
      <c r="F215" t="s">
        <v>2813</v>
      </c>
      <c r="G215" s="4" t="s">
        <v>177</v>
      </c>
      <c r="H215" s="4" t="s">
        <v>178</v>
      </c>
      <c r="I215" t="s">
        <v>2581</v>
      </c>
      <c r="J215" t="s">
        <v>877</v>
      </c>
      <c r="K215" s="6">
        <v>138000</v>
      </c>
      <c r="L215" s="6">
        <f>N215*0.2</f>
        <v>41771.200000000004</v>
      </c>
      <c r="M215" s="6">
        <f t="shared" si="25"/>
        <v>29084.799999999988</v>
      </c>
      <c r="N215" s="6">
        <v>208856</v>
      </c>
      <c r="O215" s="184" t="s">
        <v>2812</v>
      </c>
      <c r="P215" s="176" t="s">
        <v>2811</v>
      </c>
      <c r="Q215" t="s">
        <v>2817</v>
      </c>
      <c r="R215" t="s">
        <v>2809</v>
      </c>
      <c r="S215" s="178">
        <v>42626</v>
      </c>
      <c r="U215" t="s">
        <v>1775</v>
      </c>
      <c r="V215" t="s">
        <v>2571</v>
      </c>
      <c r="W215" s="178">
        <v>42626</v>
      </c>
      <c r="X215" s="6">
        <v>138000</v>
      </c>
      <c r="Y215" s="6">
        <f t="shared" si="24"/>
        <v>0</v>
      </c>
    </row>
    <row r="216" spans="1:26" x14ac:dyDescent="0.25">
      <c r="A216" s="176" t="s">
        <v>2816</v>
      </c>
      <c r="B216" t="s">
        <v>18</v>
      </c>
      <c r="C216" t="s">
        <v>2815</v>
      </c>
      <c r="D216" s="4" t="s">
        <v>966</v>
      </c>
      <c r="E216" s="4" t="s">
        <v>2814</v>
      </c>
      <c r="F216" t="s">
        <v>2813</v>
      </c>
      <c r="G216" s="4" t="s">
        <v>72</v>
      </c>
      <c r="H216" s="4" t="s">
        <v>74</v>
      </c>
      <c r="I216" t="s">
        <v>2581</v>
      </c>
      <c r="J216" t="s">
        <v>877</v>
      </c>
      <c r="K216" s="6">
        <v>1380000</v>
      </c>
      <c r="L216" s="6">
        <f>N216*0.2</f>
        <v>455386.80000000005</v>
      </c>
      <c r="M216" s="6">
        <f t="shared" si="25"/>
        <v>441547.19999999995</v>
      </c>
      <c r="N216" s="6">
        <v>2276934</v>
      </c>
      <c r="O216" s="184" t="s">
        <v>2812</v>
      </c>
      <c r="P216" s="176" t="s">
        <v>2811</v>
      </c>
      <c r="Q216" t="s">
        <v>2810</v>
      </c>
      <c r="R216" t="s">
        <v>2809</v>
      </c>
      <c r="S216" s="178">
        <v>42626</v>
      </c>
      <c r="T216" s="178">
        <v>42678</v>
      </c>
      <c r="U216" t="s">
        <v>1775</v>
      </c>
      <c r="V216" t="s">
        <v>2571</v>
      </c>
      <c r="W216" s="178">
        <v>42626</v>
      </c>
      <c r="X216" s="6">
        <v>1380000</v>
      </c>
      <c r="Y216" s="6">
        <f t="shared" si="24"/>
        <v>0</v>
      </c>
    </row>
    <row r="217" spans="1:26" ht="30" x14ac:dyDescent="0.25">
      <c r="A217" s="176" t="s">
        <v>2013</v>
      </c>
      <c r="B217" t="s">
        <v>18</v>
      </c>
      <c r="C217" t="s">
        <v>2815</v>
      </c>
      <c r="D217" t="s">
        <v>966</v>
      </c>
      <c r="E217" t="s">
        <v>41</v>
      </c>
      <c r="F217" t="s">
        <v>3705</v>
      </c>
      <c r="G217" t="s">
        <v>72</v>
      </c>
      <c r="H217" s="4" t="s">
        <v>3704</v>
      </c>
      <c r="I217" t="s">
        <v>2284</v>
      </c>
      <c r="J217" t="s">
        <v>889</v>
      </c>
      <c r="K217" s="6">
        <v>95991</v>
      </c>
      <c r="L217" s="6">
        <f>N217*0.2</f>
        <v>23997.800000000003</v>
      </c>
      <c r="M217" s="6">
        <f t="shared" si="25"/>
        <v>0.19999999999708962</v>
      </c>
      <c r="N217" s="6">
        <v>119989</v>
      </c>
      <c r="O217" s="184" t="s">
        <v>2012</v>
      </c>
      <c r="P217" s="176" t="s">
        <v>2014</v>
      </c>
      <c r="Q217" s="4" t="s">
        <v>3703</v>
      </c>
      <c r="R217" t="s">
        <v>3702</v>
      </c>
      <c r="S217" s="178">
        <v>42391</v>
      </c>
      <c r="U217" t="s">
        <v>2301</v>
      </c>
      <c r="V217" s="178" t="s">
        <v>2604</v>
      </c>
      <c r="W217" s="178">
        <v>42537</v>
      </c>
      <c r="X217" s="6">
        <v>108040</v>
      </c>
      <c r="Y217" s="6">
        <f t="shared" si="24"/>
        <v>-12049</v>
      </c>
    </row>
    <row r="218" spans="1:26" ht="30" x14ac:dyDescent="0.25">
      <c r="A218" s="176" t="s">
        <v>2017</v>
      </c>
      <c r="B218" t="s">
        <v>18</v>
      </c>
      <c r="C218" t="s">
        <v>2815</v>
      </c>
      <c r="D218" t="s">
        <v>966</v>
      </c>
      <c r="E218" t="s">
        <v>41</v>
      </c>
      <c r="F218" t="s">
        <v>4387</v>
      </c>
      <c r="G218" t="s">
        <v>72</v>
      </c>
      <c r="H218" s="4" t="s">
        <v>2019</v>
      </c>
      <c r="I218" t="s">
        <v>2284</v>
      </c>
      <c r="J218" t="s">
        <v>1990</v>
      </c>
      <c r="K218" s="6">
        <v>405000</v>
      </c>
      <c r="L218" s="6">
        <f>N218*0.2</f>
        <v>101280</v>
      </c>
      <c r="M218" s="6">
        <f t="shared" si="25"/>
        <v>120</v>
      </c>
      <c r="N218" s="6">
        <v>506400</v>
      </c>
      <c r="O218" s="184" t="s">
        <v>2016</v>
      </c>
      <c r="P218" s="176" t="s">
        <v>2018</v>
      </c>
      <c r="Q218" t="s">
        <v>4386</v>
      </c>
      <c r="R218" t="s">
        <v>4385</v>
      </c>
      <c r="S218" s="178">
        <v>42384</v>
      </c>
      <c r="U218" t="s">
        <v>1775</v>
      </c>
      <c r="V218" s="178" t="s">
        <v>2571</v>
      </c>
      <c r="W218" s="178">
        <v>42384</v>
      </c>
      <c r="X218" s="6">
        <v>405000</v>
      </c>
      <c r="Y218" s="6">
        <f t="shared" si="24"/>
        <v>0</v>
      </c>
      <c r="Z218" t="s">
        <v>4384</v>
      </c>
    </row>
    <row r="219" spans="1:26" x14ac:dyDescent="0.25">
      <c r="A219" s="188" t="s">
        <v>3628</v>
      </c>
      <c r="B219" t="s">
        <v>18</v>
      </c>
      <c r="C219" s="61" t="s">
        <v>2815</v>
      </c>
      <c r="D219" s="61" t="s">
        <v>3627</v>
      </c>
      <c r="E219" s="61" t="s">
        <v>3626</v>
      </c>
      <c r="F219" s="61" t="s">
        <v>3625</v>
      </c>
      <c r="G219" s="61" t="s">
        <v>117</v>
      </c>
      <c r="H219" s="15" t="s">
        <v>119</v>
      </c>
      <c r="I219" s="61" t="s">
        <v>2581</v>
      </c>
      <c r="J219" s="61" t="s">
        <v>877</v>
      </c>
      <c r="K219" s="183">
        <v>99200</v>
      </c>
      <c r="L219" s="183">
        <f>N219*0.2</f>
        <v>24800</v>
      </c>
      <c r="M219" s="183">
        <f t="shared" si="25"/>
        <v>0</v>
      </c>
      <c r="N219" s="183">
        <v>124000</v>
      </c>
      <c r="O219" s="189" t="s">
        <v>3624</v>
      </c>
      <c r="P219" s="188" t="s">
        <v>3623</v>
      </c>
      <c r="Q219" s="61" t="s">
        <v>3622</v>
      </c>
      <c r="R219" s="61" t="s">
        <v>3621</v>
      </c>
      <c r="S219" s="185">
        <v>42544</v>
      </c>
      <c r="T219" s="61"/>
      <c r="U219" s="61" t="s">
        <v>1775</v>
      </c>
      <c r="V219" s="185" t="s">
        <v>2571</v>
      </c>
      <c r="W219" s="185">
        <v>42544</v>
      </c>
      <c r="X219" s="183">
        <v>99200</v>
      </c>
      <c r="Y219" s="183">
        <f t="shared" si="24"/>
        <v>0</v>
      </c>
      <c r="Z219" s="15"/>
    </row>
    <row r="220" spans="1:26" ht="30" x14ac:dyDescent="0.25">
      <c r="A220" s="176" t="s">
        <v>3166</v>
      </c>
      <c r="B220" t="s">
        <v>18</v>
      </c>
      <c r="C220" s="61" t="s">
        <v>2815</v>
      </c>
      <c r="D220" t="s">
        <v>3165</v>
      </c>
      <c r="E220" s="4" t="s">
        <v>3164</v>
      </c>
      <c r="F220" t="s">
        <v>3164</v>
      </c>
      <c r="G220" s="61" t="s">
        <v>72</v>
      </c>
      <c r="H220" s="4" t="s">
        <v>3163</v>
      </c>
      <c r="I220" s="61" t="s">
        <v>2581</v>
      </c>
      <c r="J220" t="s">
        <v>877</v>
      </c>
      <c r="K220" s="6">
        <v>125000</v>
      </c>
      <c r="L220" s="6">
        <f>K220*1.25-K220</f>
        <v>31250</v>
      </c>
      <c r="M220" s="6">
        <f t="shared" si="25"/>
        <v>98250</v>
      </c>
      <c r="N220" s="6">
        <v>254500</v>
      </c>
      <c r="O220" s="184" t="s">
        <v>3162</v>
      </c>
      <c r="P220" s="176" t="s">
        <v>3161</v>
      </c>
      <c r="Q220" s="61" t="s">
        <v>3160</v>
      </c>
      <c r="R220" s="61" t="s">
        <v>3159</v>
      </c>
      <c r="S220" s="178">
        <v>42586</v>
      </c>
      <c r="U220" s="61" t="s">
        <v>1775</v>
      </c>
      <c r="V220" s="178" t="s">
        <v>2571</v>
      </c>
      <c r="W220" s="178">
        <v>42586</v>
      </c>
      <c r="X220" s="6">
        <v>125000</v>
      </c>
      <c r="Y220" s="6">
        <f t="shared" si="24"/>
        <v>0</v>
      </c>
    </row>
    <row r="221" spans="1:26" x14ac:dyDescent="0.25">
      <c r="A221" s="176" t="s">
        <v>3211</v>
      </c>
      <c r="B221" t="s">
        <v>18</v>
      </c>
      <c r="C221" t="s">
        <v>2815</v>
      </c>
      <c r="D221" t="s">
        <v>2024</v>
      </c>
      <c r="E221" t="s">
        <v>3210</v>
      </c>
      <c r="F221" t="s">
        <v>3202</v>
      </c>
      <c r="G221" t="s">
        <v>177</v>
      </c>
      <c r="H221" s="4" t="s">
        <v>178</v>
      </c>
      <c r="I221" t="s">
        <v>2581</v>
      </c>
      <c r="J221" t="s">
        <v>868</v>
      </c>
      <c r="K221" s="6">
        <v>28000</v>
      </c>
      <c r="L221" s="6">
        <f t="shared" ref="L221:L226" si="26">N221*0.2</f>
        <v>7000</v>
      </c>
      <c r="M221" s="6">
        <f t="shared" si="25"/>
        <v>0</v>
      </c>
      <c r="N221" s="6">
        <v>35000</v>
      </c>
      <c r="O221" s="184" t="s">
        <v>3209</v>
      </c>
      <c r="P221" s="176" t="s">
        <v>3208</v>
      </c>
      <c r="Q221" t="s">
        <v>3213</v>
      </c>
      <c r="R221" s="4" t="s">
        <v>3212</v>
      </c>
      <c r="S221" s="178">
        <v>42436</v>
      </c>
      <c r="U221" t="s">
        <v>2301</v>
      </c>
      <c r="V221" s="178" t="s">
        <v>2604</v>
      </c>
      <c r="W221" s="178">
        <v>42586</v>
      </c>
      <c r="X221" s="6">
        <v>28000</v>
      </c>
      <c r="Y221" s="6">
        <f t="shared" si="24"/>
        <v>0</v>
      </c>
    </row>
    <row r="222" spans="1:26" x14ac:dyDescent="0.25">
      <c r="A222" s="176" t="s">
        <v>3211</v>
      </c>
      <c r="B222" t="s">
        <v>18</v>
      </c>
      <c r="C222" t="s">
        <v>2815</v>
      </c>
      <c r="D222" t="s">
        <v>2024</v>
      </c>
      <c r="E222" t="s">
        <v>3210</v>
      </c>
      <c r="F222" t="s">
        <v>3202</v>
      </c>
      <c r="G222" t="s">
        <v>72</v>
      </c>
      <c r="H222" s="4" t="s">
        <v>2609</v>
      </c>
      <c r="I222" t="s">
        <v>2581</v>
      </c>
      <c r="J222" t="s">
        <v>868</v>
      </c>
      <c r="K222" s="6">
        <v>203671</v>
      </c>
      <c r="L222" s="6">
        <f t="shared" si="26"/>
        <v>50917.8</v>
      </c>
      <c r="M222" s="6">
        <f t="shared" si="25"/>
        <v>0.20000000001164153</v>
      </c>
      <c r="N222" s="6">
        <v>254589</v>
      </c>
      <c r="O222" s="184" t="s">
        <v>3209</v>
      </c>
      <c r="P222" s="176" t="s">
        <v>3208</v>
      </c>
      <c r="Q222" t="s">
        <v>3207</v>
      </c>
      <c r="R222" s="4" t="s">
        <v>3206</v>
      </c>
      <c r="S222" s="178">
        <v>42436</v>
      </c>
      <c r="T222" s="178">
        <v>42482</v>
      </c>
      <c r="U222" t="s">
        <v>2301</v>
      </c>
      <c r="V222" s="178" t="s">
        <v>2604</v>
      </c>
      <c r="W222" s="178">
        <v>42586</v>
      </c>
      <c r="X222" s="6">
        <v>280000</v>
      </c>
      <c r="Y222" s="6">
        <f t="shared" si="24"/>
        <v>-76329</v>
      </c>
    </row>
    <row r="223" spans="1:26" x14ac:dyDescent="0.25">
      <c r="A223" s="176" t="s">
        <v>3204</v>
      </c>
      <c r="B223" t="s">
        <v>18</v>
      </c>
      <c r="C223" t="s">
        <v>2815</v>
      </c>
      <c r="D223" t="s">
        <v>2024</v>
      </c>
      <c r="E223" t="s">
        <v>3203</v>
      </c>
      <c r="F223" t="s">
        <v>3202</v>
      </c>
      <c r="G223" t="s">
        <v>177</v>
      </c>
      <c r="H223" s="4" t="s">
        <v>178</v>
      </c>
      <c r="I223" t="s">
        <v>2581</v>
      </c>
      <c r="J223" t="s">
        <v>868</v>
      </c>
      <c r="K223" s="6">
        <v>32000</v>
      </c>
      <c r="L223" s="6">
        <f t="shared" si="26"/>
        <v>8000</v>
      </c>
      <c r="M223" s="6">
        <f t="shared" si="25"/>
        <v>0</v>
      </c>
      <c r="N223" s="6">
        <v>40000</v>
      </c>
      <c r="O223" s="184" t="s">
        <v>3201</v>
      </c>
      <c r="P223" s="176" t="s">
        <v>3200</v>
      </c>
      <c r="Q223" t="s">
        <v>3205</v>
      </c>
      <c r="R223" s="4" t="s">
        <v>3198</v>
      </c>
      <c r="S223" s="178">
        <v>42436</v>
      </c>
      <c r="U223" t="s">
        <v>2301</v>
      </c>
      <c r="V223" s="178" t="s">
        <v>2604</v>
      </c>
      <c r="W223" s="178">
        <v>42586</v>
      </c>
      <c r="X223" s="6">
        <v>32000</v>
      </c>
      <c r="Y223" s="6">
        <f t="shared" si="24"/>
        <v>0</v>
      </c>
    </row>
    <row r="224" spans="1:26" x14ac:dyDescent="0.25">
      <c r="A224" s="176" t="s">
        <v>3204</v>
      </c>
      <c r="B224" t="s">
        <v>18</v>
      </c>
      <c r="C224" t="s">
        <v>2815</v>
      </c>
      <c r="D224" t="s">
        <v>2024</v>
      </c>
      <c r="E224" t="s">
        <v>3203</v>
      </c>
      <c r="F224" t="s">
        <v>3202</v>
      </c>
      <c r="G224" t="s">
        <v>72</v>
      </c>
      <c r="H224" s="4" t="s">
        <v>2609</v>
      </c>
      <c r="I224" t="s">
        <v>2581</v>
      </c>
      <c r="J224" t="s">
        <v>868</v>
      </c>
      <c r="K224" s="6">
        <v>238556</v>
      </c>
      <c r="L224" s="6">
        <f t="shared" si="26"/>
        <v>59639</v>
      </c>
      <c r="M224" s="6">
        <f t="shared" si="25"/>
        <v>0</v>
      </c>
      <c r="N224" s="6">
        <v>298195</v>
      </c>
      <c r="O224" s="184" t="s">
        <v>3201</v>
      </c>
      <c r="P224" s="176" t="s">
        <v>3200</v>
      </c>
      <c r="Q224" t="s">
        <v>3199</v>
      </c>
      <c r="R224" s="4" t="s">
        <v>3198</v>
      </c>
      <c r="S224" s="178">
        <v>42436</v>
      </c>
      <c r="T224" s="178">
        <v>42482</v>
      </c>
      <c r="U224" t="s">
        <v>2301</v>
      </c>
      <c r="V224" s="178" t="s">
        <v>2604</v>
      </c>
      <c r="W224" s="178">
        <v>42586</v>
      </c>
      <c r="X224" s="6">
        <v>320000</v>
      </c>
      <c r="Y224" s="6">
        <f t="shared" si="24"/>
        <v>-81444</v>
      </c>
    </row>
    <row r="225" spans="1:26" x14ac:dyDescent="0.25">
      <c r="A225" s="176" t="s">
        <v>4002</v>
      </c>
      <c r="B225" t="s">
        <v>18</v>
      </c>
      <c r="C225" t="s">
        <v>2815</v>
      </c>
      <c r="D225" t="s">
        <v>3165</v>
      </c>
      <c r="E225" t="s">
        <v>41</v>
      </c>
      <c r="F225" s="4" t="s">
        <v>4001</v>
      </c>
      <c r="G225" t="s">
        <v>177</v>
      </c>
      <c r="H225" s="4" t="s">
        <v>178</v>
      </c>
      <c r="I225" s="4" t="s">
        <v>2653</v>
      </c>
      <c r="J225" t="s">
        <v>881</v>
      </c>
      <c r="K225" s="6">
        <v>16000</v>
      </c>
      <c r="L225" s="6">
        <f t="shared" si="26"/>
        <v>4000</v>
      </c>
      <c r="M225" s="6">
        <f t="shared" si="25"/>
        <v>0</v>
      </c>
      <c r="N225" s="6">
        <v>20000</v>
      </c>
      <c r="O225" s="184" t="s">
        <v>4000</v>
      </c>
      <c r="P225" s="176" t="s">
        <v>3999</v>
      </c>
      <c r="Q225" t="s">
        <v>4003</v>
      </c>
      <c r="R225" t="s">
        <v>3997</v>
      </c>
      <c r="S225" s="178">
        <v>42488</v>
      </c>
      <c r="U225" t="s">
        <v>1775</v>
      </c>
      <c r="V225" s="178" t="s">
        <v>2571</v>
      </c>
      <c r="W225" s="178">
        <v>42488</v>
      </c>
      <c r="X225" s="6">
        <v>16000</v>
      </c>
      <c r="Y225" s="6">
        <f t="shared" si="24"/>
        <v>0</v>
      </c>
    </row>
    <row r="226" spans="1:26" x14ac:dyDescent="0.25">
      <c r="A226" s="176" t="s">
        <v>4002</v>
      </c>
      <c r="B226" t="s">
        <v>18</v>
      </c>
      <c r="C226" t="s">
        <v>2815</v>
      </c>
      <c r="D226" t="s">
        <v>3165</v>
      </c>
      <c r="E226" t="s">
        <v>41</v>
      </c>
      <c r="F226" s="4" t="s">
        <v>4001</v>
      </c>
      <c r="G226" t="s">
        <v>72</v>
      </c>
      <c r="H226" s="4" t="s">
        <v>3127</v>
      </c>
      <c r="I226" s="4" t="s">
        <v>2653</v>
      </c>
      <c r="J226" t="s">
        <v>881</v>
      </c>
      <c r="K226" s="6">
        <v>120000</v>
      </c>
      <c r="L226" s="6">
        <f t="shared" si="26"/>
        <v>30000</v>
      </c>
      <c r="M226" s="6">
        <f t="shared" si="25"/>
        <v>0</v>
      </c>
      <c r="N226" s="6">
        <v>150000</v>
      </c>
      <c r="O226" s="184" t="s">
        <v>4000</v>
      </c>
      <c r="P226" s="176" t="s">
        <v>3999</v>
      </c>
      <c r="Q226" t="s">
        <v>3998</v>
      </c>
      <c r="R226" t="s">
        <v>3997</v>
      </c>
      <c r="S226" s="178">
        <v>42488</v>
      </c>
      <c r="T226" s="178">
        <v>42531</v>
      </c>
      <c r="U226" t="s">
        <v>1775</v>
      </c>
      <c r="V226" s="178" t="s">
        <v>2571</v>
      </c>
      <c r="W226" s="178">
        <v>42488</v>
      </c>
      <c r="X226" s="6">
        <v>120000</v>
      </c>
      <c r="Y226" s="6">
        <f t="shared" si="24"/>
        <v>0</v>
      </c>
    </row>
    <row r="227" spans="1:26" x14ac:dyDescent="0.25">
      <c r="A227" s="188" t="s">
        <v>2021</v>
      </c>
      <c r="B227" t="s">
        <v>18</v>
      </c>
      <c r="C227" s="61" t="s">
        <v>2815</v>
      </c>
      <c r="D227" s="61" t="s">
        <v>2024</v>
      </c>
      <c r="E227" s="61" t="s">
        <v>3302</v>
      </c>
      <c r="F227" s="61" t="s">
        <v>3301</v>
      </c>
      <c r="G227" s="61" t="s">
        <v>212</v>
      </c>
      <c r="H227" s="15" t="s">
        <v>213</v>
      </c>
      <c r="I227" s="15" t="s">
        <v>2284</v>
      </c>
      <c r="J227" s="61" t="s">
        <v>889</v>
      </c>
      <c r="K227" s="183">
        <v>48000</v>
      </c>
      <c r="L227" s="183">
        <f>K227*1.25-K227</f>
        <v>12000</v>
      </c>
      <c r="M227" s="183">
        <f t="shared" si="25"/>
        <v>0</v>
      </c>
      <c r="N227" s="183">
        <v>60000</v>
      </c>
      <c r="O227" s="189" t="s">
        <v>2020</v>
      </c>
      <c r="P227" s="188" t="s">
        <v>2022</v>
      </c>
      <c r="Q227" s="61" t="s">
        <v>3300</v>
      </c>
      <c r="R227" s="61" t="s">
        <v>3299</v>
      </c>
      <c r="S227" s="185">
        <v>42571</v>
      </c>
      <c r="T227" s="185">
        <v>42571</v>
      </c>
      <c r="U227" s="61" t="s">
        <v>1775</v>
      </c>
      <c r="V227" s="185" t="s">
        <v>2571</v>
      </c>
      <c r="W227" s="185">
        <v>42571</v>
      </c>
      <c r="X227" s="183">
        <v>48000</v>
      </c>
      <c r="Y227" s="183">
        <f t="shared" si="24"/>
        <v>0</v>
      </c>
      <c r="Z227" s="61"/>
    </row>
    <row r="228" spans="1:26" ht="60" x14ac:dyDescent="0.25">
      <c r="A228" s="188" t="s">
        <v>2026</v>
      </c>
      <c r="B228" t="s">
        <v>18</v>
      </c>
      <c r="C228" s="61" t="s">
        <v>2815</v>
      </c>
      <c r="D228" s="61" t="s">
        <v>3165</v>
      </c>
      <c r="E228" s="15" t="s">
        <v>41</v>
      </c>
      <c r="F228" s="15" t="s">
        <v>2028</v>
      </c>
      <c r="G228" s="61" t="s">
        <v>212</v>
      </c>
      <c r="H228" s="15" t="s">
        <v>213</v>
      </c>
      <c r="I228" s="15" t="s">
        <v>2284</v>
      </c>
      <c r="J228" s="15" t="s">
        <v>889</v>
      </c>
      <c r="K228" s="183">
        <v>17760</v>
      </c>
      <c r="L228" s="183">
        <f>K228*1.25-K228</f>
        <v>4440</v>
      </c>
      <c r="M228" s="183">
        <f t="shared" si="25"/>
        <v>40692</v>
      </c>
      <c r="N228" s="183">
        <v>62892</v>
      </c>
      <c r="O228" s="189" t="s">
        <v>2025</v>
      </c>
      <c r="P228" s="188" t="s">
        <v>2027</v>
      </c>
      <c r="Q228" s="187" t="s">
        <v>3252</v>
      </c>
      <c r="R228" s="61" t="s">
        <v>3251</v>
      </c>
      <c r="S228" s="185">
        <v>42578</v>
      </c>
      <c r="T228" s="61"/>
      <c r="U228" s="186" t="s">
        <v>1775</v>
      </c>
      <c r="V228" s="185" t="s">
        <v>2571</v>
      </c>
      <c r="W228" s="185">
        <v>42578</v>
      </c>
      <c r="X228" s="183">
        <v>17760</v>
      </c>
      <c r="Y228" s="183">
        <f t="shared" si="24"/>
        <v>0</v>
      </c>
      <c r="Z228" s="61"/>
    </row>
    <row r="229" spans="1:26" ht="30" x14ac:dyDescent="0.25">
      <c r="A229" s="195" t="s">
        <v>2030</v>
      </c>
      <c r="B229" t="s">
        <v>18</v>
      </c>
      <c r="C229" s="192" t="s">
        <v>2815</v>
      </c>
      <c r="D229" s="192" t="s">
        <v>587</v>
      </c>
      <c r="E229" s="192" t="s">
        <v>41</v>
      </c>
      <c r="F229" s="193" t="s">
        <v>2032</v>
      </c>
      <c r="G229" s="192" t="s">
        <v>212</v>
      </c>
      <c r="H229" s="193" t="s">
        <v>213</v>
      </c>
      <c r="I229" s="192" t="s">
        <v>2284</v>
      </c>
      <c r="J229" s="192" t="s">
        <v>889</v>
      </c>
      <c r="K229" s="197">
        <v>35988</v>
      </c>
      <c r="L229" s="197">
        <f>K229*1.25-K229</f>
        <v>8997</v>
      </c>
      <c r="M229" s="197">
        <f t="shared" si="25"/>
        <v>0</v>
      </c>
      <c r="N229" s="197">
        <v>44985</v>
      </c>
      <c r="O229" s="196" t="s">
        <v>2029</v>
      </c>
      <c r="P229" s="195" t="s">
        <v>2031</v>
      </c>
      <c r="Q229" s="192" t="s">
        <v>3122</v>
      </c>
      <c r="R229" s="192" t="s">
        <v>3121</v>
      </c>
      <c r="S229" s="198">
        <v>42586</v>
      </c>
      <c r="T229" s="192"/>
      <c r="U229" s="192" t="s">
        <v>1775</v>
      </c>
      <c r="V229" s="198" t="s">
        <v>2571</v>
      </c>
      <c r="W229" s="198">
        <v>42586</v>
      </c>
      <c r="X229" s="197">
        <v>35988</v>
      </c>
      <c r="Y229" s="197">
        <f t="shared" si="24"/>
        <v>0</v>
      </c>
      <c r="Z229" s="192"/>
    </row>
    <row r="230" spans="1:26" x14ac:dyDescent="0.25">
      <c r="A230" s="176" t="s">
        <v>3434</v>
      </c>
      <c r="B230" t="s">
        <v>18</v>
      </c>
      <c r="C230" t="s">
        <v>2815</v>
      </c>
      <c r="D230" t="s">
        <v>3433</v>
      </c>
      <c r="E230" t="s">
        <v>3432</v>
      </c>
      <c r="F230" t="s">
        <v>3431</v>
      </c>
      <c r="G230" t="s">
        <v>177</v>
      </c>
      <c r="H230" s="4" t="s">
        <v>178</v>
      </c>
      <c r="I230" t="s">
        <v>2599</v>
      </c>
      <c r="J230" t="s">
        <v>881</v>
      </c>
      <c r="K230" s="6">
        <v>18400</v>
      </c>
      <c r="L230" s="6">
        <f>N230*0.2</f>
        <v>4600</v>
      </c>
      <c r="M230" s="6">
        <f t="shared" si="25"/>
        <v>0</v>
      </c>
      <c r="N230" s="6">
        <v>23000</v>
      </c>
      <c r="O230" s="184" t="s">
        <v>3429</v>
      </c>
      <c r="P230" s="176" t="s">
        <v>3428</v>
      </c>
      <c r="Q230" t="s">
        <v>3435</v>
      </c>
      <c r="R230" t="s">
        <v>3426</v>
      </c>
      <c r="S230" s="178">
        <v>42439</v>
      </c>
      <c r="U230" t="s">
        <v>2570</v>
      </c>
      <c r="V230" s="178" t="s">
        <v>2604</v>
      </c>
      <c r="W230" s="178">
        <v>42565</v>
      </c>
      <c r="X230" s="6">
        <v>18400</v>
      </c>
      <c r="Y230" s="6">
        <f t="shared" si="24"/>
        <v>0</v>
      </c>
    </row>
    <row r="231" spans="1:26" ht="30" x14ac:dyDescent="0.25">
      <c r="A231" s="176" t="s">
        <v>3434</v>
      </c>
      <c r="B231" t="s">
        <v>18</v>
      </c>
      <c r="C231" t="s">
        <v>2815</v>
      </c>
      <c r="D231" t="s">
        <v>3433</v>
      </c>
      <c r="E231" t="s">
        <v>3432</v>
      </c>
      <c r="F231" t="s">
        <v>3431</v>
      </c>
      <c r="G231" t="s">
        <v>72</v>
      </c>
      <c r="H231" s="4" t="s">
        <v>3430</v>
      </c>
      <c r="I231" t="s">
        <v>2599</v>
      </c>
      <c r="J231" t="s">
        <v>881</v>
      </c>
      <c r="K231" s="6">
        <v>141600</v>
      </c>
      <c r="L231" s="6">
        <f>N231*0.2</f>
        <v>43600</v>
      </c>
      <c r="M231" s="6">
        <f t="shared" si="25"/>
        <v>32800</v>
      </c>
      <c r="N231" s="6">
        <v>218000</v>
      </c>
      <c r="O231" s="184" t="s">
        <v>3429</v>
      </c>
      <c r="P231" s="176" t="s">
        <v>3428</v>
      </c>
      <c r="Q231" t="s">
        <v>3427</v>
      </c>
      <c r="R231" t="s">
        <v>3426</v>
      </c>
      <c r="S231" s="178">
        <v>42439</v>
      </c>
      <c r="U231" t="s">
        <v>2570</v>
      </c>
      <c r="V231" s="178" t="s">
        <v>2604</v>
      </c>
      <c r="W231" s="178">
        <v>42565</v>
      </c>
      <c r="X231" s="6">
        <v>141600</v>
      </c>
      <c r="Y231" s="6">
        <f t="shared" si="24"/>
        <v>0</v>
      </c>
    </row>
    <row r="232" spans="1:26" x14ac:dyDescent="0.25">
      <c r="A232" s="176" t="s">
        <v>439</v>
      </c>
      <c r="B232" t="s">
        <v>90</v>
      </c>
      <c r="C232" t="s">
        <v>2815</v>
      </c>
      <c r="D232" t="s">
        <v>3172</v>
      </c>
      <c r="E232" t="s">
        <v>4010</v>
      </c>
      <c r="F232" t="s">
        <v>4009</v>
      </c>
      <c r="G232" t="s">
        <v>177</v>
      </c>
      <c r="H232" s="4" t="s">
        <v>178</v>
      </c>
      <c r="I232" s="61" t="s">
        <v>3040</v>
      </c>
      <c r="J232" t="s">
        <v>877</v>
      </c>
      <c r="K232" s="6">
        <v>320000</v>
      </c>
      <c r="L232" s="6">
        <f>N232*0.2</f>
        <v>80000</v>
      </c>
      <c r="M232" s="6">
        <f t="shared" si="25"/>
        <v>0</v>
      </c>
      <c r="N232" s="6">
        <v>400000</v>
      </c>
      <c r="O232" s="184" t="s">
        <v>4007</v>
      </c>
      <c r="P232" s="176" t="s">
        <v>4006</v>
      </c>
      <c r="Q232" t="s">
        <v>4005</v>
      </c>
      <c r="R232" t="s">
        <v>4004</v>
      </c>
      <c r="S232" s="178">
        <v>42488</v>
      </c>
      <c r="U232" t="s">
        <v>1775</v>
      </c>
      <c r="V232" s="178" t="s">
        <v>2571</v>
      </c>
      <c r="W232" s="178">
        <v>42488</v>
      </c>
      <c r="X232" s="6">
        <v>320000</v>
      </c>
      <c r="Y232" s="6">
        <f t="shared" si="24"/>
        <v>0</v>
      </c>
      <c r="Z232" s="15"/>
    </row>
    <row r="233" spans="1:26" x14ac:dyDescent="0.25">
      <c r="A233" s="176" t="s">
        <v>439</v>
      </c>
      <c r="B233" t="s">
        <v>90</v>
      </c>
      <c r="C233" t="s">
        <v>2815</v>
      </c>
      <c r="D233" t="s">
        <v>3172</v>
      </c>
      <c r="E233" t="s">
        <v>4010</v>
      </c>
      <c r="F233" t="s">
        <v>4009</v>
      </c>
      <c r="G233" t="s">
        <v>72</v>
      </c>
      <c r="H233" s="4" t="s">
        <v>4008</v>
      </c>
      <c r="I233" s="61" t="s">
        <v>3040</v>
      </c>
      <c r="J233" t="s">
        <v>877</v>
      </c>
      <c r="K233" s="6">
        <v>2880000</v>
      </c>
      <c r="L233" s="6">
        <f>N233*0.2</f>
        <v>720000</v>
      </c>
      <c r="M233" s="6">
        <f t="shared" si="25"/>
        <v>0</v>
      </c>
      <c r="N233" s="6">
        <v>3600000</v>
      </c>
      <c r="O233" s="184" t="s">
        <v>4007</v>
      </c>
      <c r="P233" s="176" t="s">
        <v>4006</v>
      </c>
      <c r="Q233" t="s">
        <v>4005</v>
      </c>
      <c r="R233" t="s">
        <v>4004</v>
      </c>
      <c r="S233" s="178">
        <v>42488</v>
      </c>
      <c r="T233" s="178">
        <v>42531</v>
      </c>
      <c r="U233" t="s">
        <v>1775</v>
      </c>
      <c r="V233" s="178" t="s">
        <v>2571</v>
      </c>
      <c r="W233" s="178">
        <v>42488</v>
      </c>
      <c r="X233" s="6">
        <v>2880000</v>
      </c>
      <c r="Y233" s="6">
        <f t="shared" si="24"/>
        <v>0</v>
      </c>
      <c r="Z233" s="15"/>
    </row>
    <row r="234" spans="1:26" x14ac:dyDescent="0.25">
      <c r="A234" s="176" t="s">
        <v>2037</v>
      </c>
      <c r="B234" t="s">
        <v>18</v>
      </c>
      <c r="C234" t="s">
        <v>150</v>
      </c>
      <c r="D234" t="s">
        <v>455</v>
      </c>
      <c r="E234" t="s">
        <v>1012</v>
      </c>
      <c r="F234" t="s">
        <v>3503</v>
      </c>
      <c r="G234" t="s">
        <v>72</v>
      </c>
      <c r="H234" s="4" t="s">
        <v>123</v>
      </c>
      <c r="I234" t="s">
        <v>2581</v>
      </c>
      <c r="J234" t="s">
        <v>868</v>
      </c>
      <c r="K234" s="6">
        <v>3028000</v>
      </c>
      <c r="L234" s="6">
        <f>(K234*1.25)-K234</f>
        <v>757000</v>
      </c>
      <c r="M234" s="6">
        <f t="shared" si="25"/>
        <v>529007</v>
      </c>
      <c r="N234" s="6">
        <v>4314007</v>
      </c>
      <c r="O234" s="184" t="s">
        <v>2036</v>
      </c>
      <c r="P234" s="176" t="s">
        <v>2038</v>
      </c>
      <c r="Q234" s="4" t="s">
        <v>3505</v>
      </c>
      <c r="R234" t="s">
        <v>3501</v>
      </c>
      <c r="S234" s="178">
        <v>42332</v>
      </c>
      <c r="U234" t="s">
        <v>2301</v>
      </c>
      <c r="V234" s="178" t="s">
        <v>2604</v>
      </c>
      <c r="W234" s="178">
        <v>42565</v>
      </c>
      <c r="X234" s="6">
        <v>1028000</v>
      </c>
      <c r="Y234" s="6">
        <f t="shared" si="24"/>
        <v>2000000</v>
      </c>
    </row>
    <row r="235" spans="1:26" x14ac:dyDescent="0.25">
      <c r="A235" s="176" t="s">
        <v>2037</v>
      </c>
      <c r="B235" t="s">
        <v>18</v>
      </c>
      <c r="C235" t="s">
        <v>150</v>
      </c>
      <c r="D235" t="s">
        <v>455</v>
      </c>
      <c r="E235" t="s">
        <v>1012</v>
      </c>
      <c r="F235" t="s">
        <v>3503</v>
      </c>
      <c r="G235" t="s">
        <v>72</v>
      </c>
      <c r="H235" s="4" t="s">
        <v>1199</v>
      </c>
      <c r="I235" t="s">
        <v>2284</v>
      </c>
      <c r="J235" t="s">
        <v>889</v>
      </c>
      <c r="K235" s="6">
        <v>4080000</v>
      </c>
      <c r="L235" s="6">
        <f>(K235*1.25)-K235</f>
        <v>1020000</v>
      </c>
      <c r="M235" s="6">
        <f t="shared" si="25"/>
        <v>885923</v>
      </c>
      <c r="N235" s="6">
        <v>5985923</v>
      </c>
      <c r="O235" s="184" t="s">
        <v>2036</v>
      </c>
      <c r="P235" s="176" t="s">
        <v>2038</v>
      </c>
      <c r="Q235" s="4" t="s">
        <v>3504</v>
      </c>
      <c r="R235" t="s">
        <v>3501</v>
      </c>
      <c r="S235" s="178">
        <v>42332</v>
      </c>
      <c r="U235" t="s">
        <v>2301</v>
      </c>
      <c r="V235" s="178" t="s">
        <v>2604</v>
      </c>
      <c r="W235" s="178">
        <v>42565</v>
      </c>
      <c r="X235" s="6">
        <v>4080000</v>
      </c>
      <c r="Y235" s="6">
        <f t="shared" si="24"/>
        <v>0</v>
      </c>
    </row>
    <row r="236" spans="1:26" x14ac:dyDescent="0.25">
      <c r="A236" s="176" t="s">
        <v>2037</v>
      </c>
      <c r="B236" t="s">
        <v>18</v>
      </c>
      <c r="C236" t="s">
        <v>150</v>
      </c>
      <c r="D236" t="s">
        <v>455</v>
      </c>
      <c r="E236" t="s">
        <v>1012</v>
      </c>
      <c r="F236" t="s">
        <v>3503</v>
      </c>
      <c r="G236" t="s">
        <v>177</v>
      </c>
      <c r="H236" s="4" t="s">
        <v>178</v>
      </c>
      <c r="I236" t="s">
        <v>2581</v>
      </c>
      <c r="J236" t="s">
        <v>877</v>
      </c>
      <c r="K236" s="6">
        <v>672000</v>
      </c>
      <c r="L236" s="6">
        <f>(K236*1.25)-K236</f>
        <v>168000</v>
      </c>
      <c r="M236" s="6">
        <f t="shared" si="25"/>
        <v>0</v>
      </c>
      <c r="N236" s="6">
        <v>840000</v>
      </c>
      <c r="O236" s="184" t="s">
        <v>2036</v>
      </c>
      <c r="P236" s="176" t="s">
        <v>2038</v>
      </c>
      <c r="Q236" s="4" t="s">
        <v>3502</v>
      </c>
      <c r="R236" t="s">
        <v>3501</v>
      </c>
      <c r="S236" s="178">
        <v>42332</v>
      </c>
      <c r="U236" t="s">
        <v>2301</v>
      </c>
      <c r="V236" s="178" t="s">
        <v>2604</v>
      </c>
      <c r="W236" s="178">
        <v>42565</v>
      </c>
      <c r="X236" s="6">
        <v>672000</v>
      </c>
      <c r="Y236" s="6">
        <f t="shared" si="24"/>
        <v>0</v>
      </c>
    </row>
    <row r="237" spans="1:26" x14ac:dyDescent="0.25">
      <c r="A237" s="188" t="s">
        <v>3104</v>
      </c>
      <c r="B237" t="s">
        <v>18</v>
      </c>
      <c r="C237" s="61" t="s">
        <v>2613</v>
      </c>
      <c r="D237" s="61" t="s">
        <v>3103</v>
      </c>
      <c r="E237" s="61" t="s">
        <v>3102</v>
      </c>
      <c r="F237" s="61" t="s">
        <v>3101</v>
      </c>
      <c r="G237" s="61" t="s">
        <v>72</v>
      </c>
      <c r="H237" s="15" t="s">
        <v>3100</v>
      </c>
      <c r="I237" s="61" t="s">
        <v>2581</v>
      </c>
      <c r="J237" s="61" t="s">
        <v>877</v>
      </c>
      <c r="K237" s="183">
        <v>152000</v>
      </c>
      <c r="L237" s="183">
        <f>K237*1.25-K237</f>
        <v>38000</v>
      </c>
      <c r="M237" s="183">
        <f t="shared" si="25"/>
        <v>0</v>
      </c>
      <c r="N237" s="183">
        <v>190000</v>
      </c>
      <c r="O237" s="189" t="s">
        <v>3099</v>
      </c>
      <c r="P237" s="188" t="s">
        <v>3098</v>
      </c>
      <c r="Q237" s="61" t="s">
        <v>3097</v>
      </c>
      <c r="R237" s="61" t="s">
        <v>3096</v>
      </c>
      <c r="S237" s="185">
        <v>42587</v>
      </c>
      <c r="T237" s="61"/>
      <c r="U237" s="61" t="s">
        <v>1775</v>
      </c>
      <c r="V237" s="185" t="s">
        <v>2571</v>
      </c>
      <c r="W237" s="185">
        <v>42587</v>
      </c>
      <c r="X237" s="183">
        <v>152000</v>
      </c>
      <c r="Y237" s="183">
        <f t="shared" si="24"/>
        <v>0</v>
      </c>
      <c r="Z237" s="61"/>
    </row>
    <row r="238" spans="1:26" x14ac:dyDescent="0.25">
      <c r="A238" s="176" t="s">
        <v>850</v>
      </c>
      <c r="B238" t="s">
        <v>18</v>
      </c>
      <c r="C238" t="s">
        <v>2613</v>
      </c>
      <c r="D238" t="s">
        <v>2902</v>
      </c>
      <c r="E238" t="s">
        <v>2901</v>
      </c>
      <c r="F238" s="4" t="s">
        <v>2900</v>
      </c>
      <c r="G238" t="s">
        <v>72</v>
      </c>
      <c r="H238" s="4" t="s">
        <v>1901</v>
      </c>
      <c r="I238" t="s">
        <v>2581</v>
      </c>
      <c r="J238" s="4" t="s">
        <v>2904</v>
      </c>
      <c r="K238" s="6">
        <v>1189716</v>
      </c>
      <c r="L238" s="6">
        <f>N238*0.2</f>
        <v>298885</v>
      </c>
      <c r="M238" s="6">
        <f t="shared" si="25"/>
        <v>5824</v>
      </c>
      <c r="N238" s="6">
        <v>1494425</v>
      </c>
      <c r="O238" s="184" t="s">
        <v>2899</v>
      </c>
      <c r="P238" s="176" t="s">
        <v>2898</v>
      </c>
      <c r="Q238" t="s">
        <v>2903</v>
      </c>
      <c r="R238" t="s">
        <v>1743</v>
      </c>
      <c r="S238" s="178">
        <v>42395</v>
      </c>
      <c r="T238" s="178">
        <v>42433</v>
      </c>
      <c r="U238" t="s">
        <v>2301</v>
      </c>
      <c r="V238" s="178" t="s">
        <v>2604</v>
      </c>
      <c r="W238" s="178">
        <v>42620</v>
      </c>
      <c r="X238" s="6">
        <v>1091000</v>
      </c>
      <c r="Y238" s="6">
        <f t="shared" si="24"/>
        <v>98716</v>
      </c>
    </row>
    <row r="239" spans="1:26" ht="30" x14ac:dyDescent="0.25">
      <c r="A239" s="176" t="s">
        <v>850</v>
      </c>
      <c r="B239" t="s">
        <v>18</v>
      </c>
      <c r="C239" t="s">
        <v>2613</v>
      </c>
      <c r="D239" t="s">
        <v>2902</v>
      </c>
      <c r="E239" t="s">
        <v>2901</v>
      </c>
      <c r="F239" s="4" t="s">
        <v>2900</v>
      </c>
      <c r="G239" t="s">
        <v>177</v>
      </c>
      <c r="H239" s="4" t="s">
        <v>178</v>
      </c>
      <c r="I239" s="4" t="s">
        <v>2781</v>
      </c>
      <c r="J239" s="4" t="s">
        <v>887</v>
      </c>
      <c r="K239" s="6">
        <v>132170</v>
      </c>
      <c r="L239" s="6">
        <f>N239*0.2</f>
        <v>33042.6</v>
      </c>
      <c r="M239" s="6">
        <f t="shared" si="25"/>
        <v>0.39999999999417923</v>
      </c>
      <c r="N239" s="6">
        <v>165213</v>
      </c>
      <c r="O239" s="184" t="s">
        <v>2899</v>
      </c>
      <c r="P239" s="176" t="s">
        <v>2898</v>
      </c>
      <c r="Q239" t="s">
        <v>2897</v>
      </c>
      <c r="R239" t="s">
        <v>1743</v>
      </c>
      <c r="S239" s="178">
        <v>42395</v>
      </c>
      <c r="U239" t="s">
        <v>2301</v>
      </c>
      <c r="V239" s="178" t="s">
        <v>2604</v>
      </c>
      <c r="W239" s="178">
        <v>42620</v>
      </c>
      <c r="X239" s="6">
        <v>96700</v>
      </c>
      <c r="Y239" s="6">
        <f t="shared" si="24"/>
        <v>35470</v>
      </c>
    </row>
    <row r="240" spans="1:26" x14ac:dyDescent="0.25">
      <c r="A240" s="176" t="s">
        <v>3731</v>
      </c>
      <c r="B240" t="s">
        <v>18</v>
      </c>
      <c r="C240" s="61" t="s">
        <v>2613</v>
      </c>
      <c r="D240" s="61" t="s">
        <v>956</v>
      </c>
      <c r="E240" s="61" t="s">
        <v>3730</v>
      </c>
      <c r="F240" s="15" t="s">
        <v>3729</v>
      </c>
      <c r="G240" s="61" t="s">
        <v>177</v>
      </c>
      <c r="H240" s="4" t="s">
        <v>178</v>
      </c>
      <c r="I240" s="4" t="s">
        <v>2599</v>
      </c>
      <c r="J240" s="4" t="s">
        <v>881</v>
      </c>
      <c r="K240" s="6">
        <v>20000</v>
      </c>
      <c r="L240" s="6">
        <f>K240*1.25-K240</f>
        <v>5000</v>
      </c>
      <c r="M240" s="6">
        <f t="shared" si="25"/>
        <v>79800</v>
      </c>
      <c r="N240" s="6">
        <v>104800</v>
      </c>
      <c r="O240" s="184" t="s">
        <v>3727</v>
      </c>
      <c r="P240" s="176" t="s">
        <v>3726</v>
      </c>
      <c r="Q240" s="21" t="s">
        <v>3734</v>
      </c>
      <c r="R240" t="s">
        <v>3724</v>
      </c>
      <c r="S240" s="178">
        <v>42531</v>
      </c>
      <c r="U240" s="186" t="s">
        <v>1775</v>
      </c>
      <c r="V240" s="178" t="s">
        <v>2571</v>
      </c>
      <c r="W240" s="178">
        <v>42531</v>
      </c>
      <c r="X240" s="6">
        <v>20000</v>
      </c>
      <c r="Y240" s="6">
        <f t="shared" si="24"/>
        <v>0</v>
      </c>
    </row>
    <row r="241" spans="1:26" ht="30" x14ac:dyDescent="0.25">
      <c r="A241" s="176" t="s">
        <v>3731</v>
      </c>
      <c r="B241" t="s">
        <v>18</v>
      </c>
      <c r="C241" s="61" t="s">
        <v>2613</v>
      </c>
      <c r="D241" s="61" t="s">
        <v>956</v>
      </c>
      <c r="E241" s="61" t="s">
        <v>3730</v>
      </c>
      <c r="F241" s="15" t="s">
        <v>3729</v>
      </c>
      <c r="G241" s="61" t="s">
        <v>72</v>
      </c>
      <c r="H241" s="4" t="s">
        <v>3733</v>
      </c>
      <c r="I241" s="4" t="s">
        <v>2599</v>
      </c>
      <c r="J241" s="4" t="s">
        <v>881</v>
      </c>
      <c r="K241" s="6">
        <v>197382</v>
      </c>
      <c r="L241" s="6">
        <v>0</v>
      </c>
      <c r="M241" s="6">
        <f t="shared" si="25"/>
        <v>0</v>
      </c>
      <c r="N241" s="6">
        <v>197382</v>
      </c>
      <c r="O241" s="184" t="s">
        <v>3727</v>
      </c>
      <c r="P241" s="176" t="s">
        <v>3726</v>
      </c>
      <c r="Q241" s="21" t="s">
        <v>3732</v>
      </c>
      <c r="R241" t="s">
        <v>3724</v>
      </c>
      <c r="S241" s="178">
        <v>42531</v>
      </c>
      <c r="T241" s="178">
        <v>42580</v>
      </c>
      <c r="U241" s="186" t="s">
        <v>1775</v>
      </c>
      <c r="V241" s="178" t="s">
        <v>2571</v>
      </c>
      <c r="W241" s="178">
        <v>42531</v>
      </c>
      <c r="X241" s="6">
        <v>197382</v>
      </c>
      <c r="Y241" s="6">
        <f t="shared" si="24"/>
        <v>0</v>
      </c>
    </row>
    <row r="242" spans="1:26" ht="30" x14ac:dyDescent="0.25">
      <c r="A242" s="176" t="s">
        <v>3731</v>
      </c>
      <c r="B242" t="s">
        <v>18</v>
      </c>
      <c r="C242" s="61" t="s">
        <v>2613</v>
      </c>
      <c r="D242" s="61" t="s">
        <v>956</v>
      </c>
      <c r="E242" s="61" t="s">
        <v>3730</v>
      </c>
      <c r="F242" s="15" t="s">
        <v>3729</v>
      </c>
      <c r="G242" s="61" t="s">
        <v>72</v>
      </c>
      <c r="H242" s="4" t="s">
        <v>3728</v>
      </c>
      <c r="I242" s="4" t="s">
        <v>2581</v>
      </c>
      <c r="J242" s="4" t="s">
        <v>877</v>
      </c>
      <c r="K242" s="6">
        <v>586650</v>
      </c>
      <c r="L242" s="6">
        <f>K242*1.25-K242</f>
        <v>146662.5</v>
      </c>
      <c r="M242" s="6">
        <f t="shared" si="25"/>
        <v>215395.5</v>
      </c>
      <c r="N242" s="6">
        <v>948708</v>
      </c>
      <c r="O242" s="184" t="s">
        <v>3727</v>
      </c>
      <c r="P242" s="176" t="s">
        <v>3726</v>
      </c>
      <c r="Q242" s="21" t="s">
        <v>3725</v>
      </c>
      <c r="R242" t="s">
        <v>3724</v>
      </c>
      <c r="S242" s="178">
        <v>42531</v>
      </c>
      <c r="T242" s="178">
        <v>42580</v>
      </c>
      <c r="U242" s="186" t="s">
        <v>1775</v>
      </c>
      <c r="V242" s="178" t="s">
        <v>2571</v>
      </c>
      <c r="W242" s="178">
        <v>42531</v>
      </c>
      <c r="X242" s="6">
        <v>586650</v>
      </c>
      <c r="Y242" s="6">
        <f t="shared" si="24"/>
        <v>0</v>
      </c>
    </row>
    <row r="243" spans="1:26" x14ac:dyDescent="0.25">
      <c r="A243" s="176" t="s">
        <v>852</v>
      </c>
      <c r="B243" t="s">
        <v>18</v>
      </c>
      <c r="C243" t="s">
        <v>2613</v>
      </c>
      <c r="D243" t="s">
        <v>462</v>
      </c>
      <c r="E243" t="s">
        <v>1071</v>
      </c>
      <c r="F243" t="s">
        <v>4147</v>
      </c>
      <c r="G243" t="s">
        <v>177</v>
      </c>
      <c r="H243" s="4" t="s">
        <v>178</v>
      </c>
      <c r="I243" t="s">
        <v>1277</v>
      </c>
      <c r="J243" t="s">
        <v>877</v>
      </c>
      <c r="K243" s="6">
        <v>180492</v>
      </c>
      <c r="L243" s="6">
        <f>N243*0.2</f>
        <v>45123</v>
      </c>
      <c r="M243" s="6">
        <f t="shared" si="25"/>
        <v>0</v>
      </c>
      <c r="N243" s="6">
        <v>225615</v>
      </c>
      <c r="O243" s="184" t="s">
        <v>4146</v>
      </c>
      <c r="P243" s="176" t="s">
        <v>4145</v>
      </c>
      <c r="Q243" t="s">
        <v>4148</v>
      </c>
      <c r="R243" t="s">
        <v>1745</v>
      </c>
      <c r="S243" s="178">
        <v>42443</v>
      </c>
      <c r="U243" t="s">
        <v>1775</v>
      </c>
      <c r="V243" s="178" t="s">
        <v>2571</v>
      </c>
      <c r="W243" s="178">
        <v>42443</v>
      </c>
      <c r="X243" s="6">
        <v>180492</v>
      </c>
      <c r="Y243" s="6">
        <f t="shared" si="24"/>
        <v>0</v>
      </c>
    </row>
    <row r="244" spans="1:26" x14ac:dyDescent="0.25">
      <c r="A244" s="176" t="s">
        <v>852</v>
      </c>
      <c r="B244" t="s">
        <v>18</v>
      </c>
      <c r="C244" t="s">
        <v>2613</v>
      </c>
      <c r="D244" t="s">
        <v>462</v>
      </c>
      <c r="E244" t="s">
        <v>1071</v>
      </c>
      <c r="F244" t="s">
        <v>4147</v>
      </c>
      <c r="G244" t="s">
        <v>72</v>
      </c>
      <c r="H244" s="4" t="s">
        <v>1195</v>
      </c>
      <c r="I244" t="s">
        <v>1277</v>
      </c>
      <c r="J244" t="s">
        <v>877</v>
      </c>
      <c r="K244" s="6">
        <v>2000000</v>
      </c>
      <c r="L244" s="6">
        <f>N244*0.2</f>
        <v>500000</v>
      </c>
      <c r="M244" s="6">
        <f t="shared" si="25"/>
        <v>0</v>
      </c>
      <c r="N244" s="6">
        <v>2500000</v>
      </c>
      <c r="O244" s="184" t="s">
        <v>4146</v>
      </c>
      <c r="P244" s="176" t="s">
        <v>4145</v>
      </c>
      <c r="Q244" t="s">
        <v>4144</v>
      </c>
      <c r="R244" t="s">
        <v>1745</v>
      </c>
      <c r="S244" s="178">
        <v>42443</v>
      </c>
      <c r="T244" s="178">
        <v>42482</v>
      </c>
      <c r="U244" t="s">
        <v>1775</v>
      </c>
      <c r="V244" s="178" t="s">
        <v>2571</v>
      </c>
      <c r="W244" s="178">
        <v>42443</v>
      </c>
      <c r="X244" s="6">
        <v>2000000</v>
      </c>
      <c r="Y244" s="6">
        <f t="shared" si="24"/>
        <v>0</v>
      </c>
    </row>
    <row r="245" spans="1:26" ht="30" x14ac:dyDescent="0.25">
      <c r="A245" s="188" t="s">
        <v>3760</v>
      </c>
      <c r="B245" t="s">
        <v>18</v>
      </c>
      <c r="C245" s="61" t="s">
        <v>2613</v>
      </c>
      <c r="D245" s="61" t="s">
        <v>973</v>
      </c>
      <c r="E245" s="61" t="s">
        <v>3759</v>
      </c>
      <c r="F245" s="15" t="s">
        <v>3758</v>
      </c>
      <c r="G245" s="61" t="s">
        <v>212</v>
      </c>
      <c r="H245" s="15" t="s">
        <v>213</v>
      </c>
      <c r="I245" s="15" t="s">
        <v>2781</v>
      </c>
      <c r="J245" s="15" t="s">
        <v>2652</v>
      </c>
      <c r="K245" s="183">
        <v>73973</v>
      </c>
      <c r="L245" s="183">
        <f>K245*1.25-K245</f>
        <v>18493.25</v>
      </c>
      <c r="M245" s="183">
        <f t="shared" si="25"/>
        <v>1904.75</v>
      </c>
      <c r="N245" s="183">
        <v>94371</v>
      </c>
      <c r="O245" s="189" t="s">
        <v>3757</v>
      </c>
      <c r="P245" s="188" t="s">
        <v>3756</v>
      </c>
      <c r="Q245" s="187" t="s">
        <v>3755</v>
      </c>
      <c r="R245" s="61" t="s">
        <v>3754</v>
      </c>
      <c r="S245" s="185">
        <v>42531</v>
      </c>
      <c r="T245" s="61"/>
      <c r="U245" s="61" t="s">
        <v>1775</v>
      </c>
      <c r="V245" s="185" t="s">
        <v>2571</v>
      </c>
      <c r="W245" s="185">
        <v>42531</v>
      </c>
      <c r="X245" s="183">
        <v>73973</v>
      </c>
      <c r="Y245" s="183">
        <f t="shared" si="24"/>
        <v>0</v>
      </c>
      <c r="Z245" s="61"/>
    </row>
    <row r="246" spans="1:26" x14ac:dyDescent="0.25">
      <c r="A246" s="176" t="s">
        <v>2053</v>
      </c>
      <c r="B246" t="s">
        <v>18</v>
      </c>
      <c r="C246" t="s">
        <v>2613</v>
      </c>
      <c r="D246" t="s">
        <v>287</v>
      </c>
      <c r="E246" t="s">
        <v>3250</v>
      </c>
      <c r="F246" s="4" t="s">
        <v>3249</v>
      </c>
      <c r="G246" t="s">
        <v>177</v>
      </c>
      <c r="H246" s="4" t="s">
        <v>178</v>
      </c>
      <c r="I246" t="s">
        <v>2284</v>
      </c>
      <c r="J246" t="s">
        <v>889</v>
      </c>
      <c r="K246" s="6">
        <v>88000</v>
      </c>
      <c r="L246" s="6">
        <f>N246*0.2</f>
        <v>30400</v>
      </c>
      <c r="M246" s="6">
        <f t="shared" si="25"/>
        <v>33600</v>
      </c>
      <c r="N246" s="6">
        <v>152000</v>
      </c>
      <c r="O246" s="184" t="s">
        <v>2052</v>
      </c>
      <c r="P246" s="176" t="s">
        <v>2054</v>
      </c>
      <c r="Q246" t="s">
        <v>3953</v>
      </c>
      <c r="R246" t="s">
        <v>3247</v>
      </c>
      <c r="S246" s="178">
        <v>42494</v>
      </c>
      <c r="U246" t="s">
        <v>1775</v>
      </c>
      <c r="V246" s="178" t="s">
        <v>2571</v>
      </c>
      <c r="W246" s="178">
        <v>42494</v>
      </c>
      <c r="X246" s="6">
        <v>88000</v>
      </c>
      <c r="Y246" s="6">
        <f t="shared" si="24"/>
        <v>0</v>
      </c>
    </row>
    <row r="247" spans="1:26" x14ac:dyDescent="0.25">
      <c r="A247" s="176" t="s">
        <v>2053</v>
      </c>
      <c r="B247" t="s">
        <v>18</v>
      </c>
      <c r="C247" t="s">
        <v>2613</v>
      </c>
      <c r="D247" t="s">
        <v>287</v>
      </c>
      <c r="E247" t="s">
        <v>3250</v>
      </c>
      <c r="F247" s="4" t="s">
        <v>3249</v>
      </c>
      <c r="G247" t="s">
        <v>72</v>
      </c>
      <c r="H247" s="4" t="s">
        <v>1901</v>
      </c>
      <c r="I247" t="s">
        <v>2284</v>
      </c>
      <c r="J247" t="s">
        <v>889</v>
      </c>
      <c r="K247" s="6">
        <v>701600</v>
      </c>
      <c r="L247" s="6">
        <f>N247*0.2</f>
        <v>175400</v>
      </c>
      <c r="M247" s="6">
        <f t="shared" si="25"/>
        <v>0</v>
      </c>
      <c r="N247" s="6">
        <v>877000</v>
      </c>
      <c r="O247" s="184" t="s">
        <v>2052</v>
      </c>
      <c r="P247" s="176" t="s">
        <v>2054</v>
      </c>
      <c r="Q247" t="s">
        <v>3952</v>
      </c>
      <c r="R247" t="s">
        <v>3247</v>
      </c>
      <c r="S247" s="178">
        <v>42494</v>
      </c>
      <c r="T247" s="178">
        <v>42531</v>
      </c>
      <c r="U247" t="s">
        <v>1775</v>
      </c>
      <c r="V247" s="178" t="s">
        <v>2571</v>
      </c>
      <c r="W247" s="178">
        <v>42494</v>
      </c>
      <c r="X247" s="6">
        <v>701600</v>
      </c>
      <c r="Y247" s="6">
        <f t="shared" si="24"/>
        <v>0</v>
      </c>
    </row>
    <row r="248" spans="1:26" x14ac:dyDescent="0.25">
      <c r="A248" s="176" t="s">
        <v>2053</v>
      </c>
      <c r="B248" t="s">
        <v>18</v>
      </c>
      <c r="C248" t="s">
        <v>2613</v>
      </c>
      <c r="D248" t="s">
        <v>287</v>
      </c>
      <c r="E248" t="s">
        <v>3250</v>
      </c>
      <c r="F248" s="4" t="s">
        <v>3249</v>
      </c>
      <c r="G248" t="s">
        <v>72</v>
      </c>
      <c r="H248" s="4" t="s">
        <v>2609</v>
      </c>
      <c r="I248" t="s">
        <v>2581</v>
      </c>
      <c r="J248" t="s">
        <v>877</v>
      </c>
      <c r="K248" s="6">
        <v>519932</v>
      </c>
      <c r="L248" s="6">
        <f>N248*0.2</f>
        <v>138648.6</v>
      </c>
      <c r="M248" s="6">
        <f t="shared" si="25"/>
        <v>34662.400000000023</v>
      </c>
      <c r="N248" s="6">
        <v>693243</v>
      </c>
      <c r="O248" s="184" t="s">
        <v>2052</v>
      </c>
      <c r="P248" s="176" t="s">
        <v>2054</v>
      </c>
      <c r="Q248" t="s">
        <v>3248</v>
      </c>
      <c r="R248" t="s">
        <v>3247</v>
      </c>
      <c r="S248" s="178">
        <v>42494</v>
      </c>
      <c r="T248" s="178">
        <v>42531</v>
      </c>
      <c r="U248" t="s">
        <v>1775</v>
      </c>
      <c r="V248" s="178" t="s">
        <v>2604</v>
      </c>
      <c r="W248" s="178">
        <v>42584</v>
      </c>
      <c r="X248" s="6">
        <v>524153</v>
      </c>
      <c r="Y248" s="6">
        <f t="shared" si="24"/>
        <v>-4221</v>
      </c>
    </row>
    <row r="249" spans="1:26" x14ac:dyDescent="0.25">
      <c r="A249" s="176" t="s">
        <v>4188</v>
      </c>
      <c r="B249" t="s">
        <v>18</v>
      </c>
      <c r="C249" t="s">
        <v>2613</v>
      </c>
      <c r="D249" t="s">
        <v>4187</v>
      </c>
      <c r="E249" t="s">
        <v>4186</v>
      </c>
      <c r="F249" t="s">
        <v>4185</v>
      </c>
      <c r="G249" t="s">
        <v>72</v>
      </c>
      <c r="H249" s="4" t="s">
        <v>2609</v>
      </c>
      <c r="I249" t="s">
        <v>2581</v>
      </c>
      <c r="J249" t="s">
        <v>877</v>
      </c>
      <c r="K249" s="6">
        <v>212250</v>
      </c>
      <c r="L249" s="6">
        <f>N249*0.25</f>
        <v>70750</v>
      </c>
      <c r="M249" s="6">
        <f t="shared" si="25"/>
        <v>0</v>
      </c>
      <c r="N249" s="6">
        <v>283000</v>
      </c>
      <c r="O249" s="184" t="s">
        <v>4184</v>
      </c>
      <c r="P249" s="176" t="s">
        <v>4183</v>
      </c>
      <c r="Q249" t="s">
        <v>4182</v>
      </c>
      <c r="R249" t="s">
        <v>4181</v>
      </c>
      <c r="S249" s="178">
        <v>42439</v>
      </c>
      <c r="U249" t="s">
        <v>1775</v>
      </c>
      <c r="V249" s="178" t="s">
        <v>2571</v>
      </c>
      <c r="W249" s="178">
        <v>42439</v>
      </c>
      <c r="X249" s="6">
        <v>212250</v>
      </c>
      <c r="Y249" s="6">
        <f t="shared" si="24"/>
        <v>0</v>
      </c>
    </row>
    <row r="250" spans="1:26" x14ac:dyDescent="0.25">
      <c r="A250" s="176" t="s">
        <v>3235</v>
      </c>
      <c r="B250" t="s">
        <v>18</v>
      </c>
      <c r="C250" t="s">
        <v>2613</v>
      </c>
      <c r="D250" t="s">
        <v>3234</v>
      </c>
      <c r="E250" t="s">
        <v>3233</v>
      </c>
      <c r="F250" t="s">
        <v>3232</v>
      </c>
      <c r="G250" t="s">
        <v>72</v>
      </c>
      <c r="H250" s="4" t="s">
        <v>2609</v>
      </c>
      <c r="I250" t="s">
        <v>2581</v>
      </c>
      <c r="J250" t="s">
        <v>877</v>
      </c>
      <c r="K250" s="6">
        <v>491286</v>
      </c>
      <c r="L250" s="6">
        <f>N250*0.25</f>
        <v>163762</v>
      </c>
      <c r="M250" s="6">
        <f t="shared" si="25"/>
        <v>0</v>
      </c>
      <c r="N250" s="6">
        <v>655048</v>
      </c>
      <c r="O250" s="184" t="s">
        <v>3231</v>
      </c>
      <c r="P250" s="176" t="s">
        <v>3230</v>
      </c>
      <c r="Q250" t="s">
        <v>3229</v>
      </c>
      <c r="R250" t="s">
        <v>3228</v>
      </c>
      <c r="S250" s="178">
        <v>42395</v>
      </c>
      <c r="U250" t="s">
        <v>2301</v>
      </c>
      <c r="V250" s="178" t="s">
        <v>2604</v>
      </c>
      <c r="W250" s="178">
        <v>42586</v>
      </c>
      <c r="X250" s="6">
        <v>581250</v>
      </c>
      <c r="Y250" s="6">
        <f t="shared" si="24"/>
        <v>-89964</v>
      </c>
      <c r="Z250" t="s">
        <v>3222</v>
      </c>
    </row>
    <row r="251" spans="1:26" x14ac:dyDescent="0.25">
      <c r="A251" s="176" t="s">
        <v>3775</v>
      </c>
      <c r="B251" t="s">
        <v>18</v>
      </c>
      <c r="C251" t="s">
        <v>2613</v>
      </c>
      <c r="D251" t="s">
        <v>3774</v>
      </c>
      <c r="E251" t="s">
        <v>3773</v>
      </c>
      <c r="F251" t="s">
        <v>3772</v>
      </c>
      <c r="G251" t="s">
        <v>72</v>
      </c>
      <c r="H251" s="4" t="s">
        <v>2609</v>
      </c>
      <c r="I251" t="s">
        <v>2581</v>
      </c>
      <c r="J251" t="s">
        <v>877</v>
      </c>
      <c r="K251" s="6">
        <v>148143</v>
      </c>
      <c r="L251" s="6">
        <f>N251*0.25</f>
        <v>49381.25</v>
      </c>
      <c r="M251" s="6">
        <f t="shared" si="25"/>
        <v>0.75</v>
      </c>
      <c r="N251" s="6">
        <v>197525</v>
      </c>
      <c r="O251" s="184" t="s">
        <v>3771</v>
      </c>
      <c r="P251" s="176" t="s">
        <v>3770</v>
      </c>
      <c r="Q251" t="s">
        <v>3769</v>
      </c>
      <c r="R251" t="s">
        <v>3768</v>
      </c>
      <c r="S251" s="178">
        <v>42431</v>
      </c>
      <c r="U251" t="s">
        <v>1775</v>
      </c>
      <c r="V251" s="178" t="s">
        <v>2604</v>
      </c>
      <c r="W251" s="178">
        <v>42531</v>
      </c>
      <c r="X251" s="6">
        <v>233250</v>
      </c>
      <c r="Y251" s="6">
        <f t="shared" si="24"/>
        <v>-85107</v>
      </c>
      <c r="Z251" t="s">
        <v>2905</v>
      </c>
    </row>
    <row r="252" spans="1:26" x14ac:dyDescent="0.25">
      <c r="A252" s="176" t="s">
        <v>2059</v>
      </c>
      <c r="B252" t="s">
        <v>18</v>
      </c>
      <c r="C252" t="s">
        <v>2613</v>
      </c>
      <c r="D252" t="s">
        <v>944</v>
      </c>
      <c r="E252" t="s">
        <v>4228</v>
      </c>
      <c r="F252" t="s">
        <v>4227</v>
      </c>
      <c r="G252" t="s">
        <v>73</v>
      </c>
      <c r="H252" s="4" t="s">
        <v>245</v>
      </c>
      <c r="I252" t="s">
        <v>2284</v>
      </c>
      <c r="J252" t="s">
        <v>889</v>
      </c>
      <c r="K252" s="6">
        <v>86400</v>
      </c>
      <c r="L252" s="6">
        <f>N252*0.2</f>
        <v>30000</v>
      </c>
      <c r="M252" s="6">
        <f t="shared" si="25"/>
        <v>33600</v>
      </c>
      <c r="N252" s="6">
        <v>150000</v>
      </c>
      <c r="O252" s="184" t="s">
        <v>2058</v>
      </c>
      <c r="P252" s="176" t="s">
        <v>2060</v>
      </c>
      <c r="Q252" t="s">
        <v>4226</v>
      </c>
      <c r="R252" s="4" t="s">
        <v>4225</v>
      </c>
      <c r="S252" s="178">
        <v>42436</v>
      </c>
      <c r="U252" t="s">
        <v>1775</v>
      </c>
      <c r="V252" s="178" t="s">
        <v>2571</v>
      </c>
      <c r="W252" s="178">
        <v>42436</v>
      </c>
      <c r="X252" s="6">
        <v>86400</v>
      </c>
      <c r="Y252" s="6">
        <f t="shared" si="24"/>
        <v>0</v>
      </c>
    </row>
    <row r="253" spans="1:26" x14ac:dyDescent="0.25">
      <c r="A253" s="176" t="s">
        <v>4437</v>
      </c>
      <c r="B253" t="s">
        <v>90</v>
      </c>
      <c r="C253" t="s">
        <v>2613</v>
      </c>
      <c r="D253" t="s">
        <v>967</v>
      </c>
      <c r="E253" t="s">
        <v>4436</v>
      </c>
      <c r="F253" t="s">
        <v>4435</v>
      </c>
      <c r="G253" t="s">
        <v>73</v>
      </c>
      <c r="H253" s="4" t="s">
        <v>245</v>
      </c>
      <c r="I253" t="s">
        <v>1276</v>
      </c>
      <c r="J253" t="s">
        <v>871</v>
      </c>
      <c r="K253" s="6">
        <v>130500</v>
      </c>
      <c r="L253" s="6">
        <f>N253*0.1</f>
        <v>14500</v>
      </c>
      <c r="M253" s="6">
        <f t="shared" si="25"/>
        <v>0</v>
      </c>
      <c r="N253" s="6">
        <v>145000</v>
      </c>
      <c r="O253" s="184" t="s">
        <v>4434</v>
      </c>
      <c r="P253" s="176" t="s">
        <v>4433</v>
      </c>
      <c r="Q253" t="s">
        <v>4432</v>
      </c>
      <c r="R253" t="s">
        <v>4431</v>
      </c>
      <c r="S253" s="178">
        <v>42355</v>
      </c>
      <c r="U253" t="s">
        <v>1775</v>
      </c>
      <c r="V253" s="178" t="s">
        <v>2571</v>
      </c>
      <c r="W253" s="178">
        <v>42355</v>
      </c>
      <c r="X253" s="6">
        <v>130500</v>
      </c>
      <c r="Y253" s="6">
        <f t="shared" si="24"/>
        <v>0</v>
      </c>
    </row>
    <row r="254" spans="1:26" x14ac:dyDescent="0.25">
      <c r="A254" s="176" t="s">
        <v>3227</v>
      </c>
      <c r="B254" t="s">
        <v>18</v>
      </c>
      <c r="C254" t="s">
        <v>2613</v>
      </c>
      <c r="D254" t="s">
        <v>3103</v>
      </c>
      <c r="E254" t="s">
        <v>3102</v>
      </c>
      <c r="F254" t="s">
        <v>3226</v>
      </c>
      <c r="G254" t="s">
        <v>72</v>
      </c>
      <c r="H254" s="4" t="s">
        <v>2609</v>
      </c>
      <c r="I254" t="s">
        <v>2581</v>
      </c>
      <c r="J254" t="s">
        <v>877</v>
      </c>
      <c r="K254" s="6">
        <v>558315</v>
      </c>
      <c r="L254" s="6">
        <f>N254*0.25</f>
        <v>186105</v>
      </c>
      <c r="M254" s="6">
        <f t="shared" si="25"/>
        <v>0</v>
      </c>
      <c r="N254" s="6">
        <v>744420</v>
      </c>
      <c r="O254" s="184" t="s">
        <v>3225</v>
      </c>
      <c r="P254" s="176" t="s">
        <v>3224</v>
      </c>
      <c r="Q254" t="s">
        <v>3223</v>
      </c>
      <c r="R254" t="s">
        <v>1639</v>
      </c>
      <c r="S254" s="178">
        <v>42395</v>
      </c>
      <c r="U254" t="s">
        <v>2301</v>
      </c>
      <c r="V254" s="178" t="s">
        <v>2604</v>
      </c>
      <c r="W254" s="178">
        <v>42586</v>
      </c>
      <c r="X254" s="6">
        <v>677330</v>
      </c>
      <c r="Y254" s="6">
        <f t="shared" si="24"/>
        <v>-119015</v>
      </c>
      <c r="Z254" t="s">
        <v>3222</v>
      </c>
    </row>
    <row r="255" spans="1:26" ht="45" x14ac:dyDescent="0.25">
      <c r="A255" s="176" t="s">
        <v>461</v>
      </c>
      <c r="B255" t="s">
        <v>18</v>
      </c>
      <c r="C255" t="s">
        <v>2613</v>
      </c>
      <c r="D255" t="s">
        <v>462</v>
      </c>
      <c r="E255" t="s">
        <v>3270</v>
      </c>
      <c r="F255" s="4" t="s">
        <v>3269</v>
      </c>
      <c r="G255" t="s">
        <v>72</v>
      </c>
      <c r="H255" s="4" t="s">
        <v>3268</v>
      </c>
      <c r="I255" t="s">
        <v>2581</v>
      </c>
      <c r="J255" t="s">
        <v>877</v>
      </c>
      <c r="K255" s="6">
        <v>1253092</v>
      </c>
      <c r="L255" s="6">
        <f>N255*0.2</f>
        <v>404820.2</v>
      </c>
      <c r="M255" s="6">
        <f t="shared" si="25"/>
        <v>366188.80000000005</v>
      </c>
      <c r="N255" s="6">
        <v>2024101</v>
      </c>
      <c r="O255" s="184" t="s">
        <v>3267</v>
      </c>
      <c r="P255" s="176" t="s">
        <v>3266</v>
      </c>
      <c r="Q255" t="s">
        <v>3265</v>
      </c>
      <c r="R255" t="s">
        <v>3264</v>
      </c>
      <c r="S255" s="178">
        <v>42494</v>
      </c>
      <c r="T255" s="178">
        <v>42531</v>
      </c>
      <c r="U255" t="s">
        <v>1775</v>
      </c>
      <c r="V255" s="178" t="s">
        <v>2604</v>
      </c>
      <c r="W255" s="178">
        <v>42577</v>
      </c>
      <c r="X255" s="6">
        <v>1469511</v>
      </c>
      <c r="Y255" s="6">
        <f t="shared" si="24"/>
        <v>-216419</v>
      </c>
    </row>
    <row r="256" spans="1:26" x14ac:dyDescent="0.25">
      <c r="A256" s="176" t="s">
        <v>3767</v>
      </c>
      <c r="B256" t="s">
        <v>18</v>
      </c>
      <c r="C256" t="s">
        <v>2613</v>
      </c>
      <c r="D256" t="s">
        <v>2612</v>
      </c>
      <c r="E256" t="s">
        <v>3766</v>
      </c>
      <c r="F256" t="s">
        <v>3765</v>
      </c>
      <c r="G256" t="s">
        <v>72</v>
      </c>
      <c r="H256" s="4" t="s">
        <v>2609</v>
      </c>
      <c r="I256" t="s">
        <v>2581</v>
      </c>
      <c r="J256" t="s">
        <v>877</v>
      </c>
      <c r="K256" s="6">
        <v>619867</v>
      </c>
      <c r="L256" s="6">
        <f>N256*0.25</f>
        <v>206622.25</v>
      </c>
      <c r="M256" s="6">
        <v>0</v>
      </c>
      <c r="N256" s="6">
        <v>826489</v>
      </c>
      <c r="O256" s="184" t="s">
        <v>3764</v>
      </c>
      <c r="P256" s="176" t="s">
        <v>3763</v>
      </c>
      <c r="Q256" t="s">
        <v>3762</v>
      </c>
      <c r="R256" s="4" t="s">
        <v>3761</v>
      </c>
      <c r="S256" s="178">
        <v>42438</v>
      </c>
      <c r="U256" t="s">
        <v>1775</v>
      </c>
      <c r="V256" s="178" t="s">
        <v>2604</v>
      </c>
      <c r="W256" s="178">
        <v>42531</v>
      </c>
      <c r="X256" s="6">
        <v>916750</v>
      </c>
      <c r="Y256" s="6">
        <f t="shared" si="24"/>
        <v>-296883</v>
      </c>
      <c r="Z256" t="s">
        <v>2905</v>
      </c>
    </row>
    <row r="257" spans="1:26" x14ac:dyDescent="0.25">
      <c r="A257" s="176" t="s">
        <v>2080</v>
      </c>
      <c r="B257" t="s">
        <v>18</v>
      </c>
      <c r="C257" t="s">
        <v>2613</v>
      </c>
      <c r="D257" s="4" t="s">
        <v>967</v>
      </c>
      <c r="E257" s="4" t="s">
        <v>35</v>
      </c>
      <c r="F257" s="4" t="s">
        <v>2807</v>
      </c>
      <c r="G257" s="4" t="s">
        <v>177</v>
      </c>
      <c r="H257" s="4" t="s">
        <v>178</v>
      </c>
      <c r="I257" s="4" t="s">
        <v>2284</v>
      </c>
      <c r="J257" s="4" t="s">
        <v>889</v>
      </c>
      <c r="K257" s="6">
        <v>102000</v>
      </c>
      <c r="L257" s="6">
        <f>N257*0.2</f>
        <v>25500</v>
      </c>
      <c r="M257" s="6">
        <f t="shared" ref="M257:M265" si="27">N257-(K257+L257)</f>
        <v>0</v>
      </c>
      <c r="N257" s="6">
        <v>127500</v>
      </c>
      <c r="O257" s="184" t="s">
        <v>2079</v>
      </c>
      <c r="P257" s="176" t="s">
        <v>2081</v>
      </c>
      <c r="Q257" t="s">
        <v>2808</v>
      </c>
      <c r="R257" t="s">
        <v>2804</v>
      </c>
      <c r="S257" s="178">
        <v>42626</v>
      </c>
      <c r="U257" t="s">
        <v>1775</v>
      </c>
      <c r="V257" t="s">
        <v>2571</v>
      </c>
      <c r="W257" s="178">
        <v>42626</v>
      </c>
      <c r="X257" s="6">
        <v>102000</v>
      </c>
      <c r="Y257" s="6">
        <f t="shared" si="24"/>
        <v>0</v>
      </c>
    </row>
    <row r="258" spans="1:26" ht="30" x14ac:dyDescent="0.25">
      <c r="A258" s="176" t="s">
        <v>2080</v>
      </c>
      <c r="B258" t="s">
        <v>18</v>
      </c>
      <c r="C258" t="s">
        <v>2613</v>
      </c>
      <c r="D258" s="4" t="s">
        <v>967</v>
      </c>
      <c r="E258" s="4" t="s">
        <v>35</v>
      </c>
      <c r="F258" s="4" t="s">
        <v>2807</v>
      </c>
      <c r="G258" s="4" t="s">
        <v>72</v>
      </c>
      <c r="H258" s="4" t="s">
        <v>2806</v>
      </c>
      <c r="I258" s="4" t="s">
        <v>2581</v>
      </c>
      <c r="J258" s="4" t="s">
        <v>877</v>
      </c>
      <c r="K258" s="6">
        <v>1120000</v>
      </c>
      <c r="L258" s="6">
        <f>N258*0.2</f>
        <v>280000</v>
      </c>
      <c r="M258" s="6">
        <f t="shared" si="27"/>
        <v>0</v>
      </c>
      <c r="N258" s="6">
        <v>1400000</v>
      </c>
      <c r="O258" s="184" t="s">
        <v>2079</v>
      </c>
      <c r="P258" s="176" t="s">
        <v>2081</v>
      </c>
      <c r="Q258" t="s">
        <v>2805</v>
      </c>
      <c r="R258" t="s">
        <v>2804</v>
      </c>
      <c r="S258" s="178">
        <v>42626</v>
      </c>
      <c r="T258" s="178">
        <v>42678</v>
      </c>
      <c r="U258" t="s">
        <v>1775</v>
      </c>
      <c r="V258" t="s">
        <v>2571</v>
      </c>
      <c r="W258" s="178">
        <v>42626</v>
      </c>
      <c r="X258" s="6">
        <v>1120000</v>
      </c>
      <c r="Y258" s="6">
        <f t="shared" si="24"/>
        <v>0</v>
      </c>
    </row>
    <row r="259" spans="1:26" x14ac:dyDescent="0.25">
      <c r="A259" s="176" t="s">
        <v>3975</v>
      </c>
      <c r="B259" t="s">
        <v>18</v>
      </c>
      <c r="C259" t="s">
        <v>2613</v>
      </c>
      <c r="D259" t="s">
        <v>459</v>
      </c>
      <c r="E259" t="s">
        <v>41</v>
      </c>
      <c r="F259" s="4" t="s">
        <v>3974</v>
      </c>
      <c r="G259" t="s">
        <v>177</v>
      </c>
      <c r="H259" s="4" t="s">
        <v>178</v>
      </c>
      <c r="I259" t="s">
        <v>2581</v>
      </c>
      <c r="J259" t="s">
        <v>877</v>
      </c>
      <c r="K259" s="6">
        <v>99200</v>
      </c>
      <c r="L259" s="6">
        <f>N259*0.2</f>
        <v>24800</v>
      </c>
      <c r="M259" s="6">
        <f t="shared" si="27"/>
        <v>0</v>
      </c>
      <c r="N259" s="6">
        <v>124000</v>
      </c>
      <c r="O259" s="184" t="s">
        <v>3973</v>
      </c>
      <c r="P259" s="176" t="s">
        <v>3972</v>
      </c>
      <c r="Q259" t="s">
        <v>3976</v>
      </c>
      <c r="R259" t="s">
        <v>3970</v>
      </c>
      <c r="S259" s="185">
        <v>42493</v>
      </c>
      <c r="T259" s="185">
        <v>42531</v>
      </c>
      <c r="U259" s="61" t="s">
        <v>1775</v>
      </c>
      <c r="V259" s="185" t="s">
        <v>2571</v>
      </c>
      <c r="W259" s="185">
        <v>42493</v>
      </c>
      <c r="X259" s="183">
        <v>99200</v>
      </c>
      <c r="Y259" s="183">
        <f t="shared" si="24"/>
        <v>0</v>
      </c>
      <c r="Z259" s="15"/>
    </row>
    <row r="260" spans="1:26" x14ac:dyDescent="0.25">
      <c r="A260" s="176" t="s">
        <v>3975</v>
      </c>
      <c r="B260" t="s">
        <v>18</v>
      </c>
      <c r="C260" t="s">
        <v>2613</v>
      </c>
      <c r="D260" t="s">
        <v>459</v>
      </c>
      <c r="E260" t="s">
        <v>41</v>
      </c>
      <c r="F260" s="4" t="s">
        <v>3974</v>
      </c>
      <c r="G260" t="s">
        <v>72</v>
      </c>
      <c r="H260" s="4" t="s">
        <v>3118</v>
      </c>
      <c r="I260" t="s">
        <v>2581</v>
      </c>
      <c r="J260" t="s">
        <v>877</v>
      </c>
      <c r="K260" s="6">
        <v>851200</v>
      </c>
      <c r="L260" s="6">
        <f>N260*0.2</f>
        <v>248000</v>
      </c>
      <c r="M260" s="6">
        <f t="shared" si="27"/>
        <v>140800</v>
      </c>
      <c r="N260" s="6">
        <v>1240000</v>
      </c>
      <c r="O260" s="184" t="s">
        <v>3973</v>
      </c>
      <c r="P260" s="176" t="s">
        <v>3972</v>
      </c>
      <c r="Q260" t="s">
        <v>3971</v>
      </c>
      <c r="R260" t="s">
        <v>3970</v>
      </c>
      <c r="S260" s="185">
        <v>42493</v>
      </c>
      <c r="T260" s="178">
        <v>42531</v>
      </c>
      <c r="U260" t="s">
        <v>1775</v>
      </c>
      <c r="V260" s="178" t="s">
        <v>2571</v>
      </c>
      <c r="W260" s="185">
        <v>42493</v>
      </c>
      <c r="X260" s="6">
        <v>851200</v>
      </c>
      <c r="Y260" s="6">
        <f t="shared" si="24"/>
        <v>0</v>
      </c>
      <c r="Z260" s="15"/>
    </row>
    <row r="261" spans="1:26" ht="30" x14ac:dyDescent="0.25">
      <c r="A261" s="176" t="s">
        <v>4346</v>
      </c>
      <c r="B261" t="s">
        <v>18</v>
      </c>
      <c r="C261" t="s">
        <v>2613</v>
      </c>
      <c r="D261" t="s">
        <v>4345</v>
      </c>
      <c r="E261" t="s">
        <v>1033</v>
      </c>
      <c r="F261" t="s">
        <v>4344</v>
      </c>
      <c r="G261" t="s">
        <v>72</v>
      </c>
      <c r="H261" s="4" t="s">
        <v>681</v>
      </c>
      <c r="I261" s="4" t="s">
        <v>2781</v>
      </c>
      <c r="J261" t="s">
        <v>887</v>
      </c>
      <c r="K261" s="6">
        <v>849800</v>
      </c>
      <c r="L261" s="6">
        <f>1062250-K261</f>
        <v>212450</v>
      </c>
      <c r="M261" s="6">
        <f t="shared" si="27"/>
        <v>1266551</v>
      </c>
      <c r="N261" s="6">
        <v>2328801</v>
      </c>
      <c r="O261" s="184" t="s">
        <v>4343</v>
      </c>
      <c r="P261" s="176" t="s">
        <v>4342</v>
      </c>
      <c r="Q261" s="4" t="s">
        <v>4341</v>
      </c>
      <c r="R261" t="s">
        <v>4340</v>
      </c>
      <c r="S261" s="178">
        <v>42395</v>
      </c>
      <c r="U261" t="s">
        <v>1775</v>
      </c>
      <c r="V261" s="178" t="s">
        <v>2571</v>
      </c>
      <c r="W261" s="178">
        <v>42395</v>
      </c>
      <c r="X261" s="6">
        <v>849800</v>
      </c>
      <c r="Y261" s="6">
        <f t="shared" si="24"/>
        <v>0</v>
      </c>
    </row>
    <row r="262" spans="1:26" x14ac:dyDescent="0.25">
      <c r="A262" s="176" t="s">
        <v>3590</v>
      </c>
      <c r="B262" t="s">
        <v>18</v>
      </c>
      <c r="C262" t="s">
        <v>2613</v>
      </c>
      <c r="D262" t="s">
        <v>2902</v>
      </c>
      <c r="E262" t="s">
        <v>3499</v>
      </c>
      <c r="F262" t="s">
        <v>3589</v>
      </c>
      <c r="G262" t="s">
        <v>72</v>
      </c>
      <c r="H262" s="4" t="s">
        <v>2609</v>
      </c>
      <c r="I262" t="s">
        <v>2581</v>
      </c>
      <c r="J262" t="s">
        <v>877</v>
      </c>
      <c r="K262" s="6">
        <v>292050</v>
      </c>
      <c r="L262" s="6">
        <f>N262*0.25</f>
        <v>100043.75</v>
      </c>
      <c r="M262" s="6">
        <f t="shared" si="27"/>
        <v>8081.25</v>
      </c>
      <c r="N262" s="6">
        <v>400175</v>
      </c>
      <c r="O262" s="184" t="s">
        <v>3588</v>
      </c>
      <c r="P262" s="176" t="s">
        <v>3587</v>
      </c>
      <c r="Q262" t="s">
        <v>3586</v>
      </c>
      <c r="R262" t="s">
        <v>3585</v>
      </c>
      <c r="S262" s="178">
        <v>42395</v>
      </c>
      <c r="U262" t="s">
        <v>1775</v>
      </c>
      <c r="V262" s="178" t="s">
        <v>2604</v>
      </c>
      <c r="W262" s="178">
        <v>42545</v>
      </c>
      <c r="X262" s="6">
        <v>292050</v>
      </c>
      <c r="Y262" s="6">
        <f t="shared" si="24"/>
        <v>0</v>
      </c>
      <c r="Z262" t="s">
        <v>2673</v>
      </c>
    </row>
    <row r="263" spans="1:26" ht="30" x14ac:dyDescent="0.25">
      <c r="A263" s="176" t="s">
        <v>2645</v>
      </c>
      <c r="B263" t="s">
        <v>18</v>
      </c>
      <c r="C263" t="s">
        <v>2613</v>
      </c>
      <c r="D263" t="s">
        <v>2644</v>
      </c>
      <c r="E263" t="s">
        <v>155</v>
      </c>
      <c r="F263" t="s">
        <v>2643</v>
      </c>
      <c r="G263" t="s">
        <v>72</v>
      </c>
      <c r="H263" s="4" t="s">
        <v>123</v>
      </c>
      <c r="I263" t="s">
        <v>2634</v>
      </c>
      <c r="J263" t="s">
        <v>2647</v>
      </c>
      <c r="K263" s="6">
        <v>800000</v>
      </c>
      <c r="L263" s="6">
        <f>(K263/0.7)-K263</f>
        <v>342857.14285714296</v>
      </c>
      <c r="M263" s="6">
        <f t="shared" si="27"/>
        <v>-0.14285714295692742</v>
      </c>
      <c r="N263" s="6">
        <v>1142857</v>
      </c>
      <c r="O263" s="184" t="s">
        <v>2642</v>
      </c>
      <c r="P263" s="176" t="s">
        <v>2641</v>
      </c>
      <c r="Q263" t="s">
        <v>2640</v>
      </c>
      <c r="R263" t="s">
        <v>2639</v>
      </c>
      <c r="S263" s="178">
        <v>42318</v>
      </c>
      <c r="U263" s="186" t="s">
        <v>2301</v>
      </c>
      <c r="V263" s="178" t="s">
        <v>2604</v>
      </c>
      <c r="W263" s="178">
        <v>42642</v>
      </c>
      <c r="X263" s="6">
        <v>800000</v>
      </c>
      <c r="Y263" s="6">
        <f t="shared" si="24"/>
        <v>0</v>
      </c>
      <c r="Z263" s="4" t="s">
        <v>2646</v>
      </c>
    </row>
    <row r="264" spans="1:26" ht="60" x14ac:dyDescent="0.25">
      <c r="A264" s="176" t="s">
        <v>2645</v>
      </c>
      <c r="B264" t="s">
        <v>18</v>
      </c>
      <c r="C264" t="s">
        <v>2613</v>
      </c>
      <c r="D264" t="s">
        <v>2644</v>
      </c>
      <c r="E264" t="s">
        <v>155</v>
      </c>
      <c r="F264" t="s">
        <v>2643</v>
      </c>
      <c r="G264" t="s">
        <v>72</v>
      </c>
      <c r="H264" s="4" t="s">
        <v>123</v>
      </c>
      <c r="I264" t="s">
        <v>2581</v>
      </c>
      <c r="J264" t="s">
        <v>877</v>
      </c>
      <c r="K264" s="6">
        <v>317154</v>
      </c>
      <c r="L264" s="6">
        <f>(K264/0.7)-K264</f>
        <v>135923.1428571429</v>
      </c>
      <c r="M264" s="6">
        <f t="shared" si="27"/>
        <v>626287.85714285704</v>
      </c>
      <c r="N264" s="6">
        <v>1079365</v>
      </c>
      <c r="O264" s="184" t="s">
        <v>2642</v>
      </c>
      <c r="P264" s="176" t="s">
        <v>2641</v>
      </c>
      <c r="Q264" t="s">
        <v>2640</v>
      </c>
      <c r="R264" t="s">
        <v>2639</v>
      </c>
      <c r="S264" s="178">
        <v>42318</v>
      </c>
      <c r="U264" s="186" t="s">
        <v>2301</v>
      </c>
      <c r="V264" s="178" t="s">
        <v>2604</v>
      </c>
      <c r="W264" s="178">
        <v>42642</v>
      </c>
      <c r="X264" s="6">
        <v>1210000</v>
      </c>
      <c r="Y264" s="6">
        <f t="shared" si="24"/>
        <v>-892846</v>
      </c>
      <c r="Z264" s="4" t="s">
        <v>2638</v>
      </c>
    </row>
    <row r="265" spans="1:26" x14ac:dyDescent="0.25">
      <c r="A265" s="176" t="s">
        <v>3396</v>
      </c>
      <c r="B265" t="s">
        <v>18</v>
      </c>
      <c r="C265" t="s">
        <v>2613</v>
      </c>
      <c r="D265" t="s">
        <v>967</v>
      </c>
      <c r="E265" t="s">
        <v>3395</v>
      </c>
      <c r="F265" t="s">
        <v>3394</v>
      </c>
      <c r="G265" t="s">
        <v>72</v>
      </c>
      <c r="H265" s="4" t="s">
        <v>2609</v>
      </c>
      <c r="I265" s="61" t="s">
        <v>2581</v>
      </c>
      <c r="J265" t="s">
        <v>877</v>
      </c>
      <c r="K265" s="6">
        <v>331102</v>
      </c>
      <c r="L265" s="6">
        <f>N265*0.2</f>
        <v>88293.8</v>
      </c>
      <c r="M265" s="6">
        <f t="shared" si="27"/>
        <v>22073.200000000012</v>
      </c>
      <c r="N265" s="6">
        <v>441469</v>
      </c>
      <c r="O265" s="184" t="s">
        <v>3393</v>
      </c>
      <c r="P265" s="176" t="s">
        <v>3392</v>
      </c>
      <c r="Q265" t="s">
        <v>3391</v>
      </c>
      <c r="R265" t="s">
        <v>3390</v>
      </c>
      <c r="S265" s="178">
        <v>42493</v>
      </c>
      <c r="U265" t="s">
        <v>1775</v>
      </c>
      <c r="V265" s="178" t="s">
        <v>2604</v>
      </c>
      <c r="W265" s="178">
        <v>42569</v>
      </c>
      <c r="X265" s="6">
        <v>383000</v>
      </c>
      <c r="Y265" s="6">
        <f t="shared" si="24"/>
        <v>-51898</v>
      </c>
      <c r="Z265" s="15"/>
    </row>
    <row r="266" spans="1:26" x14ac:dyDescent="0.25">
      <c r="A266" s="176" t="s">
        <v>3873</v>
      </c>
      <c r="B266" t="s">
        <v>18</v>
      </c>
      <c r="C266" t="s">
        <v>2613</v>
      </c>
      <c r="D266" t="s">
        <v>3872</v>
      </c>
      <c r="E266" t="s">
        <v>1062</v>
      </c>
      <c r="F266" t="s">
        <v>3871</v>
      </c>
      <c r="G266" t="s">
        <v>72</v>
      </c>
      <c r="H266" s="4" t="s">
        <v>2609</v>
      </c>
      <c r="I266" t="s">
        <v>2581</v>
      </c>
      <c r="J266" t="s">
        <v>877</v>
      </c>
      <c r="K266" s="6">
        <v>420343</v>
      </c>
      <c r="L266" s="6">
        <v>171250</v>
      </c>
      <c r="M266" s="6">
        <v>360000</v>
      </c>
      <c r="N266" s="6">
        <v>849899</v>
      </c>
      <c r="O266" s="184" t="s">
        <v>3870</v>
      </c>
      <c r="P266" s="176" t="s">
        <v>3869</v>
      </c>
      <c r="Q266" t="s">
        <v>3868</v>
      </c>
      <c r="R266" t="s">
        <v>3867</v>
      </c>
      <c r="S266" s="178">
        <v>42438</v>
      </c>
      <c r="U266" t="s">
        <v>1775</v>
      </c>
      <c r="V266" s="178" t="s">
        <v>2604</v>
      </c>
      <c r="W266" s="178">
        <v>42514</v>
      </c>
      <c r="X266" s="6">
        <v>513750</v>
      </c>
      <c r="Y266" s="6">
        <f t="shared" si="24"/>
        <v>-93407</v>
      </c>
    </row>
    <row r="267" spans="1:26" x14ac:dyDescent="0.25">
      <c r="A267" s="176" t="s">
        <v>2681</v>
      </c>
      <c r="B267" t="s">
        <v>18</v>
      </c>
      <c r="C267" t="s">
        <v>2613</v>
      </c>
      <c r="D267" t="s">
        <v>2680</v>
      </c>
      <c r="E267" t="s">
        <v>2679</v>
      </c>
      <c r="F267" t="s">
        <v>2678</v>
      </c>
      <c r="G267" t="s">
        <v>72</v>
      </c>
      <c r="H267" s="4" t="s">
        <v>2609</v>
      </c>
      <c r="I267" t="s">
        <v>2581</v>
      </c>
      <c r="J267" t="s">
        <v>877</v>
      </c>
      <c r="K267" s="6">
        <v>164808</v>
      </c>
      <c r="L267" s="6">
        <f>N267*0.45</f>
        <v>134842.5</v>
      </c>
      <c r="M267" s="6">
        <v>0</v>
      </c>
      <c r="N267" s="6">
        <v>299650</v>
      </c>
      <c r="O267" s="184" t="s">
        <v>2677</v>
      </c>
      <c r="P267" s="176" t="s">
        <v>2676</v>
      </c>
      <c r="Q267" t="s">
        <v>2675</v>
      </c>
      <c r="R267" t="s">
        <v>2674</v>
      </c>
      <c r="S267" s="178">
        <v>42395</v>
      </c>
      <c r="U267" t="s">
        <v>2301</v>
      </c>
      <c r="V267" s="178" t="s">
        <v>2604</v>
      </c>
      <c r="W267" s="178">
        <v>42635</v>
      </c>
      <c r="X267" s="6">
        <v>164808</v>
      </c>
      <c r="Y267" s="6">
        <f t="shared" si="24"/>
        <v>0</v>
      </c>
      <c r="Z267" t="s">
        <v>2673</v>
      </c>
    </row>
    <row r="268" spans="1:26" x14ac:dyDescent="0.25">
      <c r="A268" s="176" t="s">
        <v>2681</v>
      </c>
      <c r="B268" t="s">
        <v>18</v>
      </c>
      <c r="C268" t="s">
        <v>2613</v>
      </c>
      <c r="D268" t="s">
        <v>2680</v>
      </c>
      <c r="E268" t="s">
        <v>2679</v>
      </c>
      <c r="F268" t="s">
        <v>2678</v>
      </c>
      <c r="G268" t="s">
        <v>72</v>
      </c>
      <c r="H268" s="4" t="s">
        <v>2609</v>
      </c>
      <c r="I268" t="s">
        <v>2634</v>
      </c>
      <c r="J268" t="s">
        <v>2647</v>
      </c>
      <c r="K268" s="6">
        <v>397000</v>
      </c>
      <c r="L268" s="6">
        <f>N268*0.45</f>
        <v>324818.10000000003</v>
      </c>
      <c r="M268" s="6">
        <f t="shared" ref="M268:M302" si="28">N268-(K268+L268)</f>
        <v>-0.10000000009313226</v>
      </c>
      <c r="N268" s="6">
        <v>721818</v>
      </c>
      <c r="O268" s="184" t="s">
        <v>2677</v>
      </c>
      <c r="P268" s="176" t="s">
        <v>2676</v>
      </c>
      <c r="Q268" t="s">
        <v>2675</v>
      </c>
      <c r="R268" t="s">
        <v>2674</v>
      </c>
      <c r="S268" s="178">
        <v>42395</v>
      </c>
      <c r="U268" t="s">
        <v>2301</v>
      </c>
      <c r="V268" s="178" t="s">
        <v>2604</v>
      </c>
      <c r="W268" s="178">
        <v>42635</v>
      </c>
      <c r="X268" s="6">
        <v>607000</v>
      </c>
      <c r="Y268" s="6">
        <f t="shared" si="24"/>
        <v>-210000</v>
      </c>
      <c r="Z268" t="s">
        <v>2673</v>
      </c>
    </row>
    <row r="269" spans="1:26" ht="30" x14ac:dyDescent="0.25">
      <c r="A269" s="176" t="s">
        <v>2991</v>
      </c>
      <c r="B269" t="s">
        <v>90</v>
      </c>
      <c r="C269" t="s">
        <v>2613</v>
      </c>
      <c r="D269" s="4" t="s">
        <v>2990</v>
      </c>
      <c r="E269" s="4" t="s">
        <v>1046</v>
      </c>
      <c r="F269" t="s">
        <v>2989</v>
      </c>
      <c r="G269" t="s">
        <v>177</v>
      </c>
      <c r="H269" s="4" t="s">
        <v>178</v>
      </c>
      <c r="I269" s="4" t="s">
        <v>2748</v>
      </c>
      <c r="J269" t="s">
        <v>877</v>
      </c>
      <c r="K269" s="6">
        <v>20000</v>
      </c>
      <c r="L269" s="6">
        <f>N269*0.2</f>
        <v>5000</v>
      </c>
      <c r="M269" s="6">
        <f t="shared" si="28"/>
        <v>0</v>
      </c>
      <c r="N269" s="6">
        <v>25000</v>
      </c>
      <c r="O269" s="184" t="s">
        <v>2988</v>
      </c>
      <c r="P269" s="176" t="s">
        <v>2987</v>
      </c>
      <c r="Q269" t="s">
        <v>2986</v>
      </c>
      <c r="R269" t="s">
        <v>2985</v>
      </c>
      <c r="S269" s="178">
        <v>42607</v>
      </c>
      <c r="U269" s="61" t="s">
        <v>1775</v>
      </c>
      <c r="V269" s="178" t="s">
        <v>2571</v>
      </c>
      <c r="W269" s="178">
        <v>42607</v>
      </c>
      <c r="X269" s="6">
        <v>20000</v>
      </c>
      <c r="Y269" s="6">
        <f t="shared" si="24"/>
        <v>0</v>
      </c>
    </row>
    <row r="270" spans="1:26" ht="30" x14ac:dyDescent="0.25">
      <c r="A270" s="176" t="s">
        <v>2991</v>
      </c>
      <c r="B270" t="s">
        <v>90</v>
      </c>
      <c r="C270" t="s">
        <v>2613</v>
      </c>
      <c r="D270" s="4" t="s">
        <v>2990</v>
      </c>
      <c r="E270" s="4" t="s">
        <v>1046</v>
      </c>
      <c r="F270" t="s">
        <v>2989</v>
      </c>
      <c r="G270" t="s">
        <v>72</v>
      </c>
      <c r="H270" s="4" t="s">
        <v>179</v>
      </c>
      <c r="I270" s="4" t="s">
        <v>2748</v>
      </c>
      <c r="J270" t="s">
        <v>877</v>
      </c>
      <c r="K270" s="6">
        <v>180000</v>
      </c>
      <c r="L270" s="6">
        <f>N270*0.2</f>
        <v>45000</v>
      </c>
      <c r="M270" s="6">
        <f t="shared" si="28"/>
        <v>0</v>
      </c>
      <c r="N270" s="6">
        <v>225000</v>
      </c>
      <c r="O270" s="184" t="s">
        <v>2988</v>
      </c>
      <c r="P270" s="176" t="s">
        <v>2987</v>
      </c>
      <c r="Q270" t="s">
        <v>2986</v>
      </c>
      <c r="R270" t="s">
        <v>2985</v>
      </c>
      <c r="S270" s="178">
        <v>42607</v>
      </c>
      <c r="U270" s="61" t="s">
        <v>1775</v>
      </c>
      <c r="V270" s="178" t="s">
        <v>2571</v>
      </c>
      <c r="W270" s="178">
        <v>42607</v>
      </c>
      <c r="X270" s="6">
        <v>180000</v>
      </c>
      <c r="Y270" s="6">
        <f t="shared" ref="Y270:Y333" si="29">K270-X270</f>
        <v>0</v>
      </c>
    </row>
    <row r="271" spans="1:26" x14ac:dyDescent="0.25">
      <c r="A271" s="188" t="s">
        <v>3135</v>
      </c>
      <c r="B271" t="s">
        <v>18</v>
      </c>
      <c r="C271" s="61" t="s">
        <v>2613</v>
      </c>
      <c r="D271" s="61" t="s">
        <v>967</v>
      </c>
      <c r="E271" s="61" t="s">
        <v>1022</v>
      </c>
      <c r="F271" s="61" t="s">
        <v>3134</v>
      </c>
      <c r="G271" s="61" t="s">
        <v>72</v>
      </c>
      <c r="H271" s="15" t="s">
        <v>75</v>
      </c>
      <c r="I271" s="61" t="s">
        <v>1276</v>
      </c>
      <c r="J271" s="61" t="s">
        <v>871</v>
      </c>
      <c r="K271" s="183">
        <v>531187</v>
      </c>
      <c r="L271" s="183">
        <f>N271*0.1</f>
        <v>59020.800000000003</v>
      </c>
      <c r="M271" s="183">
        <f t="shared" si="28"/>
        <v>0.19999999995343387</v>
      </c>
      <c r="N271" s="183">
        <v>590208</v>
      </c>
      <c r="O271" s="189" t="s">
        <v>3133</v>
      </c>
      <c r="P271" s="188" t="s">
        <v>3132</v>
      </c>
      <c r="Q271" s="61" t="s">
        <v>3131</v>
      </c>
      <c r="R271" s="61" t="s">
        <v>3130</v>
      </c>
      <c r="S271" s="185">
        <v>42586</v>
      </c>
      <c r="T271" s="61"/>
      <c r="U271" s="61" t="s">
        <v>1775</v>
      </c>
      <c r="V271" s="185" t="s">
        <v>2571</v>
      </c>
      <c r="W271" s="185">
        <v>42586</v>
      </c>
      <c r="X271" s="183">
        <v>531187</v>
      </c>
      <c r="Y271" s="183">
        <f t="shared" si="29"/>
        <v>0</v>
      </c>
      <c r="Z271" s="61"/>
    </row>
    <row r="272" spans="1:26" ht="30" x14ac:dyDescent="0.25">
      <c r="A272" s="188" t="s">
        <v>2088</v>
      </c>
      <c r="B272" t="s">
        <v>18</v>
      </c>
      <c r="C272" s="61" t="s">
        <v>2613</v>
      </c>
      <c r="D272" s="61" t="s">
        <v>450</v>
      </c>
      <c r="E272" s="15" t="s">
        <v>2946</v>
      </c>
      <c r="F272" s="15" t="s">
        <v>2945</v>
      </c>
      <c r="G272" s="61" t="s">
        <v>177</v>
      </c>
      <c r="H272" s="15" t="s">
        <v>178</v>
      </c>
      <c r="I272" s="15" t="s">
        <v>2715</v>
      </c>
      <c r="J272" s="15" t="s">
        <v>2714</v>
      </c>
      <c r="K272" s="183">
        <v>182290</v>
      </c>
      <c r="L272" s="183">
        <f>K272*1.25-K272</f>
        <v>45572.5</v>
      </c>
      <c r="M272" s="183">
        <f t="shared" si="28"/>
        <v>2.5</v>
      </c>
      <c r="N272" s="183">
        <v>227865</v>
      </c>
      <c r="O272" s="189" t="s">
        <v>2944</v>
      </c>
      <c r="P272" s="188" t="s">
        <v>2943</v>
      </c>
      <c r="Q272" s="187" t="s">
        <v>2947</v>
      </c>
      <c r="R272" s="61" t="s">
        <v>2941</v>
      </c>
      <c r="S272" s="185">
        <v>42545</v>
      </c>
      <c r="T272" s="61"/>
      <c r="U272" s="186" t="s">
        <v>1775</v>
      </c>
      <c r="V272" s="185" t="s">
        <v>2604</v>
      </c>
      <c r="W272" s="185">
        <v>42614</v>
      </c>
      <c r="X272" s="183">
        <v>182290</v>
      </c>
      <c r="Y272" s="183">
        <f t="shared" si="29"/>
        <v>0</v>
      </c>
      <c r="Z272" s="61"/>
    </row>
    <row r="273" spans="1:26" ht="30" x14ac:dyDescent="0.25">
      <c r="A273" s="188" t="s">
        <v>2088</v>
      </c>
      <c r="B273" t="s">
        <v>18</v>
      </c>
      <c r="C273" s="61" t="s">
        <v>2613</v>
      </c>
      <c r="D273" s="61" t="s">
        <v>450</v>
      </c>
      <c r="E273" s="15" t="s">
        <v>2946</v>
      </c>
      <c r="F273" s="15" t="s">
        <v>2945</v>
      </c>
      <c r="G273" s="61" t="s">
        <v>72</v>
      </c>
      <c r="H273" s="15" t="s">
        <v>1901</v>
      </c>
      <c r="I273" s="15" t="s">
        <v>2715</v>
      </c>
      <c r="J273" s="15" t="s">
        <v>2714</v>
      </c>
      <c r="K273" s="183">
        <v>1619782</v>
      </c>
      <c r="L273" s="183">
        <f>K273*1.25-K273</f>
        <v>404945.5</v>
      </c>
      <c r="M273" s="183">
        <f t="shared" si="28"/>
        <v>-0.5</v>
      </c>
      <c r="N273" s="183">
        <v>2024727</v>
      </c>
      <c r="O273" s="189" t="s">
        <v>2944</v>
      </c>
      <c r="P273" s="188" t="s">
        <v>2943</v>
      </c>
      <c r="Q273" s="187" t="s">
        <v>2942</v>
      </c>
      <c r="R273" s="61" t="s">
        <v>2941</v>
      </c>
      <c r="S273" s="185">
        <v>42545</v>
      </c>
      <c r="T273" s="185">
        <v>42580</v>
      </c>
      <c r="U273" s="186" t="s">
        <v>1775</v>
      </c>
      <c r="V273" s="185" t="s">
        <v>2604</v>
      </c>
      <c r="W273" s="185">
        <v>42614</v>
      </c>
      <c r="X273" s="183">
        <v>1860297</v>
      </c>
      <c r="Y273" s="183">
        <f t="shared" si="29"/>
        <v>-240515</v>
      </c>
      <c r="Z273" s="61"/>
    </row>
    <row r="274" spans="1:26" x14ac:dyDescent="0.25">
      <c r="A274" s="176" t="s">
        <v>3382</v>
      </c>
      <c r="B274" t="s">
        <v>18</v>
      </c>
      <c r="C274" t="s">
        <v>2613</v>
      </c>
      <c r="D274" t="s">
        <v>2680</v>
      </c>
      <c r="E274" t="s">
        <v>3381</v>
      </c>
      <c r="F274" s="4" t="s">
        <v>3380</v>
      </c>
      <c r="G274" t="s">
        <v>72</v>
      </c>
      <c r="H274" s="4" t="s">
        <v>2609</v>
      </c>
      <c r="I274" t="s">
        <v>2581</v>
      </c>
      <c r="J274" t="s">
        <v>877</v>
      </c>
      <c r="K274" s="6">
        <v>517499</v>
      </c>
      <c r="L274" s="6">
        <f>N274*0.2</f>
        <v>137999.80000000002</v>
      </c>
      <c r="M274" s="6">
        <f t="shared" si="28"/>
        <v>34500.199999999953</v>
      </c>
      <c r="N274" s="6">
        <v>689999</v>
      </c>
      <c r="O274" s="184" t="s">
        <v>3379</v>
      </c>
      <c r="P274" s="176" t="s">
        <v>3378</v>
      </c>
      <c r="Q274" t="s">
        <v>3377</v>
      </c>
      <c r="R274" t="s">
        <v>3376</v>
      </c>
      <c r="S274" s="185">
        <v>42494</v>
      </c>
      <c r="T274" s="185">
        <v>42531</v>
      </c>
      <c r="U274" s="61" t="s">
        <v>1775</v>
      </c>
      <c r="V274" s="185" t="s">
        <v>2604</v>
      </c>
      <c r="W274" s="185">
        <v>42569</v>
      </c>
      <c r="X274" s="183">
        <v>592000</v>
      </c>
      <c r="Y274" s="183">
        <f t="shared" si="29"/>
        <v>-74501</v>
      </c>
      <c r="Z274" s="15"/>
    </row>
    <row r="275" spans="1:26" x14ac:dyDescent="0.25">
      <c r="A275" s="176" t="s">
        <v>3389</v>
      </c>
      <c r="B275" t="s">
        <v>18</v>
      </c>
      <c r="C275" t="s">
        <v>2613</v>
      </c>
      <c r="D275" t="s">
        <v>967</v>
      </c>
      <c r="E275" t="s">
        <v>3388</v>
      </c>
      <c r="F275" t="s">
        <v>3387</v>
      </c>
      <c r="G275" t="s">
        <v>72</v>
      </c>
      <c r="H275" s="4" t="s">
        <v>2609</v>
      </c>
      <c r="I275" s="61" t="s">
        <v>2581</v>
      </c>
      <c r="J275" t="s">
        <v>877</v>
      </c>
      <c r="K275" s="6">
        <v>384970</v>
      </c>
      <c r="L275" s="6">
        <f>N275*0.2</f>
        <v>102658.6</v>
      </c>
      <c r="M275" s="6">
        <f t="shared" si="28"/>
        <v>25664.400000000023</v>
      </c>
      <c r="N275" s="6">
        <v>513293</v>
      </c>
      <c r="O275" s="184" t="s">
        <v>3386</v>
      </c>
      <c r="P275" s="176" t="s">
        <v>3385</v>
      </c>
      <c r="Q275" t="s">
        <v>3384</v>
      </c>
      <c r="R275" t="s">
        <v>3383</v>
      </c>
      <c r="S275" s="178">
        <v>42493</v>
      </c>
      <c r="T275" s="178">
        <v>42531</v>
      </c>
      <c r="U275" t="s">
        <v>1775</v>
      </c>
      <c r="V275" s="178" t="s">
        <v>2604</v>
      </c>
      <c r="W275" s="178">
        <v>42569</v>
      </c>
      <c r="X275" s="6">
        <v>437000</v>
      </c>
      <c r="Y275" s="6">
        <f t="shared" si="29"/>
        <v>-52030</v>
      </c>
      <c r="Z275" s="15"/>
    </row>
    <row r="276" spans="1:26" x14ac:dyDescent="0.25">
      <c r="A276" s="176" t="s">
        <v>4058</v>
      </c>
      <c r="B276" t="s">
        <v>18</v>
      </c>
      <c r="C276" t="s">
        <v>2613</v>
      </c>
      <c r="D276" t="s">
        <v>459</v>
      </c>
      <c r="E276" t="s">
        <v>4057</v>
      </c>
      <c r="F276" t="s">
        <v>4056</v>
      </c>
      <c r="G276" t="s">
        <v>72</v>
      </c>
      <c r="H276" s="4" t="s">
        <v>2609</v>
      </c>
      <c r="I276" t="s">
        <v>2581</v>
      </c>
      <c r="J276" t="s">
        <v>877</v>
      </c>
      <c r="K276" s="6">
        <v>190500</v>
      </c>
      <c r="L276" s="6">
        <f>N276*0.25</f>
        <v>69491</v>
      </c>
      <c r="M276" s="6">
        <f t="shared" si="28"/>
        <v>17973</v>
      </c>
      <c r="N276" s="6">
        <v>277964</v>
      </c>
      <c r="O276" s="184" t="s">
        <v>4055</v>
      </c>
      <c r="P276" s="176" t="s">
        <v>4054</v>
      </c>
      <c r="Q276" t="s">
        <v>4059</v>
      </c>
      <c r="R276" t="s">
        <v>4052</v>
      </c>
      <c r="S276" s="178">
        <v>42395</v>
      </c>
      <c r="U276" t="s">
        <v>1775</v>
      </c>
      <c r="V276" s="178" t="s">
        <v>2604</v>
      </c>
      <c r="W276" s="178">
        <v>42475</v>
      </c>
      <c r="X276" s="6">
        <v>190500</v>
      </c>
      <c r="Y276" s="6">
        <f t="shared" si="29"/>
        <v>0</v>
      </c>
      <c r="Z276" t="s">
        <v>3222</v>
      </c>
    </row>
    <row r="277" spans="1:26" x14ac:dyDescent="0.25">
      <c r="A277" s="176" t="s">
        <v>4058</v>
      </c>
      <c r="B277" t="s">
        <v>18</v>
      </c>
      <c r="C277" t="s">
        <v>2613</v>
      </c>
      <c r="D277" t="s">
        <v>459</v>
      </c>
      <c r="E277" t="s">
        <v>4057</v>
      </c>
      <c r="F277" t="s">
        <v>4056</v>
      </c>
      <c r="G277" t="s">
        <v>177</v>
      </c>
      <c r="H277" s="4" t="s">
        <v>178</v>
      </c>
      <c r="I277" t="s">
        <v>2581</v>
      </c>
      <c r="J277" t="s">
        <v>877</v>
      </c>
      <c r="K277" s="6">
        <v>30000</v>
      </c>
      <c r="L277" s="6">
        <f>N277*0.25</f>
        <v>10000</v>
      </c>
      <c r="M277" s="6">
        <f t="shared" si="28"/>
        <v>0</v>
      </c>
      <c r="N277" s="6">
        <v>40000</v>
      </c>
      <c r="O277" s="184" t="s">
        <v>4055</v>
      </c>
      <c r="P277" s="176" t="s">
        <v>4054</v>
      </c>
      <c r="Q277" t="s">
        <v>4053</v>
      </c>
      <c r="R277" t="s">
        <v>4052</v>
      </c>
      <c r="S277" s="178">
        <v>42395</v>
      </c>
      <c r="U277" t="s">
        <v>1775</v>
      </c>
      <c r="V277" s="178" t="s">
        <v>2604</v>
      </c>
      <c r="W277" s="178">
        <v>42475</v>
      </c>
      <c r="X277" s="6">
        <v>30000</v>
      </c>
      <c r="Y277" s="6">
        <f t="shared" si="29"/>
        <v>0</v>
      </c>
      <c r="Z277" t="s">
        <v>3222</v>
      </c>
    </row>
    <row r="278" spans="1:26" x14ac:dyDescent="0.25">
      <c r="A278" s="176" t="s">
        <v>2614</v>
      </c>
      <c r="B278" t="s">
        <v>18</v>
      </c>
      <c r="C278" t="s">
        <v>2613</v>
      </c>
      <c r="D278" t="s">
        <v>2612</v>
      </c>
      <c r="E278" t="s">
        <v>2611</v>
      </c>
      <c r="F278" t="s">
        <v>2610</v>
      </c>
      <c r="G278" t="s">
        <v>72</v>
      </c>
      <c r="H278" s="4" t="s">
        <v>2609</v>
      </c>
      <c r="I278" t="s">
        <v>2581</v>
      </c>
      <c r="J278" t="s">
        <v>868</v>
      </c>
      <c r="K278" s="6">
        <v>280482</v>
      </c>
      <c r="L278" s="6">
        <f>N278*0.2</f>
        <v>74795.199999999997</v>
      </c>
      <c r="M278" s="6">
        <f t="shared" si="28"/>
        <v>18698.799999999988</v>
      </c>
      <c r="N278" s="6">
        <v>373976</v>
      </c>
      <c r="O278" s="184" t="s">
        <v>2608</v>
      </c>
      <c r="P278" s="176" t="s">
        <v>2607</v>
      </c>
      <c r="Q278" t="s">
        <v>2606</v>
      </c>
      <c r="R278" t="s">
        <v>2605</v>
      </c>
      <c r="S278" s="178">
        <v>42443</v>
      </c>
      <c r="U278" t="s">
        <v>2301</v>
      </c>
      <c r="V278" s="178" t="s">
        <v>2604</v>
      </c>
      <c r="W278" s="178"/>
      <c r="X278" s="6">
        <v>352500</v>
      </c>
      <c r="Y278" s="6">
        <f t="shared" si="29"/>
        <v>-72018</v>
      </c>
      <c r="Z278" s="190" t="s">
        <v>2603</v>
      </c>
    </row>
    <row r="279" spans="1:26" x14ac:dyDescent="0.25">
      <c r="A279" s="176" t="s">
        <v>3500</v>
      </c>
      <c r="B279" t="s">
        <v>18</v>
      </c>
      <c r="C279" t="s">
        <v>2613</v>
      </c>
      <c r="D279" t="s">
        <v>2902</v>
      </c>
      <c r="E279" t="s">
        <v>3499</v>
      </c>
      <c r="F279" t="s">
        <v>3498</v>
      </c>
      <c r="G279" t="s">
        <v>117</v>
      </c>
      <c r="H279" s="4" t="s">
        <v>119</v>
      </c>
      <c r="I279" s="4" t="s">
        <v>2653</v>
      </c>
      <c r="J279" t="s">
        <v>888</v>
      </c>
      <c r="K279" s="6">
        <v>79784</v>
      </c>
      <c r="L279" s="6">
        <f>N279*0.2</f>
        <v>19946</v>
      </c>
      <c r="M279" s="6">
        <f t="shared" si="28"/>
        <v>0</v>
      </c>
      <c r="N279" s="6">
        <v>99730</v>
      </c>
      <c r="O279" s="184" t="s">
        <v>3497</v>
      </c>
      <c r="P279" s="176" t="s">
        <v>3496</v>
      </c>
      <c r="Q279" t="s">
        <v>3495</v>
      </c>
      <c r="R279" t="s">
        <v>3494</v>
      </c>
      <c r="S279" s="178">
        <v>42362</v>
      </c>
      <c r="U279" t="s">
        <v>2301</v>
      </c>
      <c r="V279" s="178" t="s">
        <v>2604</v>
      </c>
      <c r="W279" s="178">
        <v>42565</v>
      </c>
      <c r="X279" s="6">
        <v>79784</v>
      </c>
      <c r="Y279" s="6">
        <f t="shared" si="29"/>
        <v>0</v>
      </c>
    </row>
    <row r="280" spans="1:26" x14ac:dyDescent="0.25">
      <c r="A280" s="176" t="s">
        <v>3493</v>
      </c>
      <c r="B280" t="s">
        <v>18</v>
      </c>
      <c r="C280" t="s">
        <v>2613</v>
      </c>
      <c r="D280" t="s">
        <v>2902</v>
      </c>
      <c r="E280" t="s">
        <v>3492</v>
      </c>
      <c r="F280" t="s">
        <v>3491</v>
      </c>
      <c r="G280" t="s">
        <v>117</v>
      </c>
      <c r="H280" s="4" t="s">
        <v>119</v>
      </c>
      <c r="I280" s="4" t="s">
        <v>2653</v>
      </c>
      <c r="J280" t="s">
        <v>888</v>
      </c>
      <c r="K280" s="6">
        <v>58049</v>
      </c>
      <c r="L280" s="6">
        <f>N280*0.2</f>
        <v>14512.2</v>
      </c>
      <c r="M280" s="6">
        <f t="shared" si="28"/>
        <v>-0.19999999999708962</v>
      </c>
      <c r="N280" s="6">
        <v>72561</v>
      </c>
      <c r="O280" s="184" t="s">
        <v>3490</v>
      </c>
      <c r="P280" s="176" t="s">
        <v>3489</v>
      </c>
      <c r="Q280" t="s">
        <v>3488</v>
      </c>
      <c r="R280" t="s">
        <v>3487</v>
      </c>
      <c r="S280" s="178">
        <v>42362</v>
      </c>
      <c r="U280" t="s">
        <v>2301</v>
      </c>
      <c r="V280" s="178" t="s">
        <v>2604</v>
      </c>
      <c r="W280" s="178">
        <v>42565</v>
      </c>
      <c r="X280" s="6">
        <v>58049</v>
      </c>
      <c r="Y280" s="6">
        <f t="shared" si="29"/>
        <v>0</v>
      </c>
    </row>
    <row r="281" spans="1:26" x14ac:dyDescent="0.25">
      <c r="A281" s="176" t="s">
        <v>4051</v>
      </c>
      <c r="B281" t="s">
        <v>18</v>
      </c>
      <c r="C281" t="s">
        <v>2613</v>
      </c>
      <c r="D281" t="s">
        <v>967</v>
      </c>
      <c r="E281" t="s">
        <v>35</v>
      </c>
      <c r="F281" t="s">
        <v>4050</v>
      </c>
      <c r="G281" t="s">
        <v>72</v>
      </c>
      <c r="H281" s="4" t="s">
        <v>2791</v>
      </c>
      <c r="I281" t="s">
        <v>83</v>
      </c>
      <c r="J281" t="s">
        <v>18</v>
      </c>
      <c r="K281" s="6">
        <v>0</v>
      </c>
      <c r="L281" s="6">
        <v>0</v>
      </c>
      <c r="M281" s="6">
        <f t="shared" si="28"/>
        <v>25000</v>
      </c>
      <c r="N281" s="6">
        <v>25000</v>
      </c>
      <c r="O281" s="184" t="s">
        <v>4048</v>
      </c>
      <c r="P281" s="176" t="s">
        <v>4047</v>
      </c>
      <c r="Q281" t="s">
        <v>4046</v>
      </c>
      <c r="R281" t="s">
        <v>1750</v>
      </c>
      <c r="S281" s="178">
        <v>42395</v>
      </c>
      <c r="U281" t="s">
        <v>1775</v>
      </c>
      <c r="V281" s="178" t="s">
        <v>2571</v>
      </c>
      <c r="W281" s="178">
        <v>42395</v>
      </c>
      <c r="X281" s="6">
        <v>0</v>
      </c>
      <c r="Y281" s="6">
        <f t="shared" si="29"/>
        <v>0</v>
      </c>
    </row>
    <row r="282" spans="1:26" ht="30" x14ac:dyDescent="0.25">
      <c r="A282" s="202" t="s">
        <v>4051</v>
      </c>
      <c r="B282" t="s">
        <v>90</v>
      </c>
      <c r="C282" t="s">
        <v>2613</v>
      </c>
      <c r="D282" t="s">
        <v>967</v>
      </c>
      <c r="E282" t="s">
        <v>35</v>
      </c>
      <c r="F282" t="s">
        <v>4050</v>
      </c>
      <c r="G282" t="s">
        <v>72</v>
      </c>
      <c r="H282" s="4" t="s">
        <v>4049</v>
      </c>
      <c r="I282" t="s">
        <v>1277</v>
      </c>
      <c r="J282" t="s">
        <v>877</v>
      </c>
      <c r="K282" s="6">
        <v>240000</v>
      </c>
      <c r="L282" s="6">
        <f>N282*0.2</f>
        <v>60000</v>
      </c>
      <c r="M282" s="6">
        <f t="shared" si="28"/>
        <v>0</v>
      </c>
      <c r="N282" s="6">
        <v>300000</v>
      </c>
      <c r="O282" s="184" t="s">
        <v>4048</v>
      </c>
      <c r="P282" s="176" t="s">
        <v>4047</v>
      </c>
      <c r="Q282" t="s">
        <v>4046</v>
      </c>
      <c r="R282" t="s">
        <v>1750</v>
      </c>
      <c r="S282" s="178">
        <v>42395</v>
      </c>
      <c r="U282" t="s">
        <v>1775</v>
      </c>
      <c r="V282" s="178" t="s">
        <v>2604</v>
      </c>
      <c r="W282" s="178">
        <v>42475</v>
      </c>
      <c r="X282" s="6">
        <v>240000</v>
      </c>
      <c r="Y282" s="6">
        <f t="shared" si="29"/>
        <v>0</v>
      </c>
      <c r="Z282" s="4" t="s">
        <v>4045</v>
      </c>
    </row>
    <row r="283" spans="1:26" ht="30" x14ac:dyDescent="0.25">
      <c r="A283" s="188" t="s">
        <v>4051</v>
      </c>
      <c r="B283" t="s">
        <v>18</v>
      </c>
      <c r="C283" t="s">
        <v>2613</v>
      </c>
      <c r="D283" t="s">
        <v>967</v>
      </c>
      <c r="E283" t="s">
        <v>35</v>
      </c>
      <c r="F283" t="s">
        <v>4050</v>
      </c>
      <c r="G283" t="s">
        <v>72</v>
      </c>
      <c r="H283" s="4" t="s">
        <v>4049</v>
      </c>
      <c r="I283" t="s">
        <v>2581</v>
      </c>
      <c r="J283" t="s">
        <v>877</v>
      </c>
      <c r="K283" s="6">
        <f>1243855+5207</f>
        <v>1249062</v>
      </c>
      <c r="L283" s="6">
        <v>646055</v>
      </c>
      <c r="M283" s="6">
        <f t="shared" si="28"/>
        <v>34001</v>
      </c>
      <c r="N283" s="6">
        <f>1887217+34001+7900</f>
        <v>1929118</v>
      </c>
      <c r="O283" s="184" t="s">
        <v>4048</v>
      </c>
      <c r="P283" s="176" t="s">
        <v>4047</v>
      </c>
      <c r="Q283" t="s">
        <v>4046</v>
      </c>
      <c r="R283" t="s">
        <v>1750</v>
      </c>
      <c r="S283" s="178">
        <v>42395</v>
      </c>
      <c r="T283" s="178">
        <v>42433</v>
      </c>
      <c r="U283" t="s">
        <v>1775</v>
      </c>
      <c r="V283" s="178" t="s">
        <v>2604</v>
      </c>
      <c r="W283" s="178">
        <v>42475</v>
      </c>
      <c r="X283" s="6">
        <v>1168000</v>
      </c>
      <c r="Y283" s="6">
        <f t="shared" si="29"/>
        <v>81062</v>
      </c>
      <c r="Z283" s="4" t="s">
        <v>4045</v>
      </c>
    </row>
    <row r="284" spans="1:26" x14ac:dyDescent="0.25">
      <c r="A284" s="176" t="s">
        <v>4100</v>
      </c>
      <c r="B284" t="s">
        <v>18</v>
      </c>
      <c r="C284" t="s">
        <v>2613</v>
      </c>
      <c r="D284" t="s">
        <v>364</v>
      </c>
      <c r="E284" t="s">
        <v>4450</v>
      </c>
      <c r="F284" t="s">
        <v>4449</v>
      </c>
      <c r="G284" t="s">
        <v>72</v>
      </c>
      <c r="H284" s="4" t="s">
        <v>4448</v>
      </c>
      <c r="I284" t="s">
        <v>2581</v>
      </c>
      <c r="J284" t="s">
        <v>877</v>
      </c>
      <c r="K284" s="6">
        <v>37500</v>
      </c>
      <c r="L284" s="6">
        <f t="shared" ref="L284:L289" si="30">N284*0.2</f>
        <v>10000</v>
      </c>
      <c r="M284" s="6">
        <f t="shared" si="28"/>
        <v>2500</v>
      </c>
      <c r="N284" s="6">
        <v>50000</v>
      </c>
      <c r="O284" s="184" t="s">
        <v>4447</v>
      </c>
      <c r="P284" s="176" t="s">
        <v>4446</v>
      </c>
      <c r="Q284" t="s">
        <v>4445</v>
      </c>
      <c r="R284" t="s">
        <v>4444</v>
      </c>
      <c r="S284" s="178">
        <v>42352</v>
      </c>
      <c r="U284" t="s">
        <v>1775</v>
      </c>
      <c r="V284" s="178" t="s">
        <v>2571</v>
      </c>
      <c r="W284" s="178">
        <v>42352</v>
      </c>
      <c r="X284" s="6">
        <v>37500</v>
      </c>
      <c r="Y284" s="6">
        <f t="shared" si="29"/>
        <v>0</v>
      </c>
      <c r="Z284" s="15"/>
    </row>
    <row r="285" spans="1:26" ht="30" x14ac:dyDescent="0.25">
      <c r="A285" s="176" t="s">
        <v>4100</v>
      </c>
      <c r="B285" t="s">
        <v>18</v>
      </c>
      <c r="C285" t="s">
        <v>2613</v>
      </c>
      <c r="D285" t="s">
        <v>944</v>
      </c>
      <c r="E285" t="s">
        <v>3150</v>
      </c>
      <c r="F285" s="4" t="s">
        <v>4099</v>
      </c>
      <c r="G285" t="s">
        <v>72</v>
      </c>
      <c r="H285" s="4" t="s">
        <v>1901</v>
      </c>
      <c r="I285" s="4" t="s">
        <v>2653</v>
      </c>
      <c r="J285" s="4" t="s">
        <v>893</v>
      </c>
      <c r="K285" s="6">
        <v>318400</v>
      </c>
      <c r="L285" s="6">
        <f t="shared" si="30"/>
        <v>79600</v>
      </c>
      <c r="M285" s="6">
        <f t="shared" si="28"/>
        <v>0</v>
      </c>
      <c r="N285" s="6">
        <v>398000</v>
      </c>
      <c r="O285" s="184" t="s">
        <v>4098</v>
      </c>
      <c r="P285" s="176" t="s">
        <v>4097</v>
      </c>
      <c r="Q285" t="s">
        <v>4339</v>
      </c>
      <c r="R285" t="s">
        <v>4095</v>
      </c>
      <c r="S285" s="178">
        <v>42395</v>
      </c>
      <c r="U285" t="s">
        <v>1775</v>
      </c>
      <c r="V285" s="178" t="s">
        <v>2571</v>
      </c>
      <c r="W285" s="178">
        <v>42395</v>
      </c>
      <c r="X285" s="6">
        <v>318400</v>
      </c>
      <c r="Y285" s="6">
        <f t="shared" si="29"/>
        <v>0</v>
      </c>
    </row>
    <row r="286" spans="1:26" ht="30" x14ac:dyDescent="0.25">
      <c r="A286" s="176" t="s">
        <v>4100</v>
      </c>
      <c r="B286" t="s">
        <v>18</v>
      </c>
      <c r="C286" t="s">
        <v>2613</v>
      </c>
      <c r="D286" t="s">
        <v>944</v>
      </c>
      <c r="E286" t="s">
        <v>3150</v>
      </c>
      <c r="F286" s="4" t="s">
        <v>4099</v>
      </c>
      <c r="G286" t="s">
        <v>177</v>
      </c>
      <c r="H286" s="4" t="s">
        <v>178</v>
      </c>
      <c r="I286" s="4" t="s">
        <v>2653</v>
      </c>
      <c r="J286" s="4" t="s">
        <v>893</v>
      </c>
      <c r="K286" s="6">
        <v>280000</v>
      </c>
      <c r="L286" s="6">
        <f t="shared" si="30"/>
        <v>70000</v>
      </c>
      <c r="M286" s="6">
        <f t="shared" si="28"/>
        <v>0</v>
      </c>
      <c r="N286" s="6">
        <v>350000</v>
      </c>
      <c r="O286" s="184" t="s">
        <v>4098</v>
      </c>
      <c r="P286" s="176" t="s">
        <v>4097</v>
      </c>
      <c r="Q286" t="s">
        <v>4338</v>
      </c>
      <c r="R286" t="s">
        <v>4095</v>
      </c>
      <c r="S286" s="178">
        <v>42395</v>
      </c>
      <c r="U286" t="s">
        <v>1775</v>
      </c>
      <c r="V286" s="178" t="s">
        <v>2571</v>
      </c>
      <c r="W286" s="178">
        <v>42395</v>
      </c>
      <c r="X286" s="6">
        <v>280000</v>
      </c>
      <c r="Y286" s="6">
        <f t="shared" si="29"/>
        <v>0</v>
      </c>
    </row>
    <row r="287" spans="1:26" ht="30" x14ac:dyDescent="0.25">
      <c r="A287" s="176" t="s">
        <v>4100</v>
      </c>
      <c r="B287" t="s">
        <v>18</v>
      </c>
      <c r="C287" t="s">
        <v>2613</v>
      </c>
      <c r="D287" t="s">
        <v>944</v>
      </c>
      <c r="E287" t="s">
        <v>3150</v>
      </c>
      <c r="F287" s="4" t="s">
        <v>4099</v>
      </c>
      <c r="G287" t="s">
        <v>72</v>
      </c>
      <c r="H287" s="4" t="s">
        <v>1901</v>
      </c>
      <c r="I287" t="s">
        <v>2581</v>
      </c>
      <c r="J287" s="4" t="s">
        <v>877</v>
      </c>
      <c r="K287" s="6">
        <v>905763</v>
      </c>
      <c r="L287" s="6">
        <f t="shared" si="30"/>
        <v>226440.6</v>
      </c>
      <c r="M287" s="6">
        <f t="shared" si="28"/>
        <v>-0.60000000009313226</v>
      </c>
      <c r="N287" s="6">
        <v>1132203</v>
      </c>
      <c r="O287" s="184" t="s">
        <v>4098</v>
      </c>
      <c r="P287" s="176" t="s">
        <v>4097</v>
      </c>
      <c r="Q287" t="s">
        <v>4096</v>
      </c>
      <c r="R287" t="s">
        <v>4095</v>
      </c>
      <c r="S287" s="178">
        <v>42395</v>
      </c>
      <c r="U287" t="s">
        <v>2301</v>
      </c>
      <c r="V287" s="178" t="s">
        <v>2604</v>
      </c>
      <c r="W287" s="178">
        <v>42474</v>
      </c>
      <c r="X287" s="6">
        <v>2081600</v>
      </c>
      <c r="Y287" s="6">
        <f t="shared" si="29"/>
        <v>-1175837</v>
      </c>
      <c r="Z287" t="s">
        <v>4094</v>
      </c>
    </row>
    <row r="288" spans="1:26" x14ac:dyDescent="0.25">
      <c r="A288" s="176" t="s">
        <v>3043</v>
      </c>
      <c r="B288" t="s">
        <v>90</v>
      </c>
      <c r="C288" t="s">
        <v>2613</v>
      </c>
      <c r="D288" t="s">
        <v>408</v>
      </c>
      <c r="E288" t="s">
        <v>3042</v>
      </c>
      <c r="F288" s="4" t="s">
        <v>3041</v>
      </c>
      <c r="G288" t="s">
        <v>177</v>
      </c>
      <c r="H288" s="4" t="s">
        <v>178</v>
      </c>
      <c r="I288" s="61" t="s">
        <v>3040</v>
      </c>
      <c r="J288" t="s">
        <v>877</v>
      </c>
      <c r="K288" s="6">
        <v>54000</v>
      </c>
      <c r="L288" s="6">
        <f t="shared" si="30"/>
        <v>13500</v>
      </c>
      <c r="M288" s="6">
        <f t="shared" si="28"/>
        <v>0</v>
      </c>
      <c r="N288" s="6">
        <v>67500</v>
      </c>
      <c r="O288" s="184" t="s">
        <v>3039</v>
      </c>
      <c r="P288" s="176" t="s">
        <v>3038</v>
      </c>
      <c r="Q288" t="s">
        <v>3037</v>
      </c>
      <c r="R288" t="s">
        <v>3036</v>
      </c>
      <c r="S288" s="178">
        <v>42494</v>
      </c>
      <c r="T288" s="178"/>
      <c r="U288" t="s">
        <v>1775</v>
      </c>
      <c r="V288" s="178" t="s">
        <v>2604</v>
      </c>
      <c r="W288" s="178">
        <v>42597</v>
      </c>
      <c r="X288" s="6">
        <v>54000</v>
      </c>
      <c r="Y288" s="6">
        <f t="shared" si="29"/>
        <v>0</v>
      </c>
    </row>
    <row r="289" spans="1:26" x14ac:dyDescent="0.25">
      <c r="A289" s="176" t="s">
        <v>3043</v>
      </c>
      <c r="B289" t="s">
        <v>90</v>
      </c>
      <c r="C289" t="s">
        <v>2613</v>
      </c>
      <c r="D289" t="s">
        <v>408</v>
      </c>
      <c r="E289" t="s">
        <v>3042</v>
      </c>
      <c r="F289" s="4" t="s">
        <v>3041</v>
      </c>
      <c r="G289" t="s">
        <v>72</v>
      </c>
      <c r="H289" s="4" t="s">
        <v>2609</v>
      </c>
      <c r="I289" s="61" t="s">
        <v>3040</v>
      </c>
      <c r="J289" t="s">
        <v>877</v>
      </c>
      <c r="K289" s="6">
        <v>263225</v>
      </c>
      <c r="L289" s="6">
        <f t="shared" si="30"/>
        <v>65806.2</v>
      </c>
      <c r="M289" s="6">
        <f t="shared" si="28"/>
        <v>-0.20000000001164153</v>
      </c>
      <c r="N289" s="6">
        <v>329031</v>
      </c>
      <c r="O289" s="184" t="s">
        <v>3039</v>
      </c>
      <c r="P289" s="176" t="s">
        <v>3038</v>
      </c>
      <c r="Q289" t="s">
        <v>3037</v>
      </c>
      <c r="R289" t="s">
        <v>3036</v>
      </c>
      <c r="S289" s="178">
        <v>42494</v>
      </c>
      <c r="T289" s="178">
        <v>42531</v>
      </c>
      <c r="U289" t="s">
        <v>1775</v>
      </c>
      <c r="V289" s="178" t="s">
        <v>2604</v>
      </c>
      <c r="W289" s="178">
        <v>42597</v>
      </c>
      <c r="X289" s="6">
        <v>486000</v>
      </c>
      <c r="Y289" s="6">
        <f t="shared" si="29"/>
        <v>-222775</v>
      </c>
    </row>
    <row r="290" spans="1:26" ht="30" x14ac:dyDescent="0.25">
      <c r="A290" s="188" t="s">
        <v>3151</v>
      </c>
      <c r="B290" t="s">
        <v>18</v>
      </c>
      <c r="C290" s="61" t="s">
        <v>2613</v>
      </c>
      <c r="D290" s="61" t="s">
        <v>364</v>
      </c>
      <c r="E290" s="61" t="s">
        <v>3150</v>
      </c>
      <c r="F290" s="61" t="s">
        <v>3149</v>
      </c>
      <c r="G290" s="61" t="s">
        <v>72</v>
      </c>
      <c r="H290" s="15" t="s">
        <v>3148</v>
      </c>
      <c r="I290" s="61" t="s">
        <v>1276</v>
      </c>
      <c r="J290" s="61" t="s">
        <v>871</v>
      </c>
      <c r="K290" s="183">
        <v>735405</v>
      </c>
      <c r="L290" s="183">
        <f>N290*0.1</f>
        <v>81711.700000000012</v>
      </c>
      <c r="M290" s="183">
        <f t="shared" si="28"/>
        <v>0.30000000004656613</v>
      </c>
      <c r="N290" s="183">
        <v>817117</v>
      </c>
      <c r="O290" s="189" t="s">
        <v>3147</v>
      </c>
      <c r="P290" s="188" t="s">
        <v>3146</v>
      </c>
      <c r="Q290" s="61" t="s">
        <v>3145</v>
      </c>
      <c r="R290" s="61" t="s">
        <v>3144</v>
      </c>
      <c r="S290" s="185">
        <v>42586</v>
      </c>
      <c r="T290" s="61"/>
      <c r="U290" s="61" t="s">
        <v>1775</v>
      </c>
      <c r="V290" s="185" t="s">
        <v>2571</v>
      </c>
      <c r="W290" s="185">
        <v>42586</v>
      </c>
      <c r="X290" s="183">
        <v>735405</v>
      </c>
      <c r="Y290" s="183">
        <f t="shared" si="29"/>
        <v>0</v>
      </c>
      <c r="Z290" s="61"/>
    </row>
    <row r="291" spans="1:26" x14ac:dyDescent="0.25">
      <c r="A291" s="176" t="s">
        <v>3832</v>
      </c>
      <c r="B291" t="s">
        <v>18</v>
      </c>
      <c r="C291" t="s">
        <v>2613</v>
      </c>
      <c r="D291" t="s">
        <v>3831</v>
      </c>
      <c r="E291" t="s">
        <v>3830</v>
      </c>
      <c r="F291" t="s">
        <v>3829</v>
      </c>
      <c r="G291" t="s">
        <v>72</v>
      </c>
      <c r="H291" s="4" t="s">
        <v>2609</v>
      </c>
      <c r="I291" t="s">
        <v>2581</v>
      </c>
      <c r="J291" t="s">
        <v>877</v>
      </c>
      <c r="K291" s="6">
        <v>139327</v>
      </c>
      <c r="L291" s="6">
        <f>N291*0.2</f>
        <v>37153.800000000003</v>
      </c>
      <c r="M291" s="6">
        <f t="shared" si="28"/>
        <v>9288.2000000000116</v>
      </c>
      <c r="N291" s="6">
        <v>185769</v>
      </c>
      <c r="O291" s="184" t="s">
        <v>3828</v>
      </c>
      <c r="P291" s="176" t="s">
        <v>3827</v>
      </c>
      <c r="Q291" s="4" t="s">
        <v>3826</v>
      </c>
      <c r="R291" t="s">
        <v>3825</v>
      </c>
      <c r="S291" s="178">
        <v>42327</v>
      </c>
      <c r="U291" t="s">
        <v>1775</v>
      </c>
      <c r="V291" s="178" t="s">
        <v>2604</v>
      </c>
      <c r="W291" s="178">
        <v>42515</v>
      </c>
      <c r="X291" s="6">
        <v>311381</v>
      </c>
      <c r="Y291" s="6">
        <f t="shared" si="29"/>
        <v>-172054</v>
      </c>
    </row>
    <row r="292" spans="1:26" x14ac:dyDescent="0.25">
      <c r="A292" s="176" t="s">
        <v>4517</v>
      </c>
      <c r="B292" t="s">
        <v>90</v>
      </c>
      <c r="C292" t="s">
        <v>2613</v>
      </c>
      <c r="D292" t="s">
        <v>2724</v>
      </c>
      <c r="E292" t="s">
        <v>4516</v>
      </c>
      <c r="F292" t="s">
        <v>4515</v>
      </c>
      <c r="G292" t="s">
        <v>72</v>
      </c>
      <c r="H292" s="4" t="s">
        <v>2609</v>
      </c>
      <c r="I292" t="s">
        <v>1276</v>
      </c>
      <c r="J292" t="s">
        <v>871</v>
      </c>
      <c r="K292" s="6">
        <v>472658</v>
      </c>
      <c r="L292" s="6">
        <f>N292*0.1</f>
        <v>52517.600000000006</v>
      </c>
      <c r="M292" s="6">
        <f t="shared" si="28"/>
        <v>0.40000000002328306</v>
      </c>
      <c r="N292" s="6">
        <v>525176</v>
      </c>
      <c r="O292" s="184" t="s">
        <v>4514</v>
      </c>
      <c r="P292" s="176" t="s">
        <v>4513</v>
      </c>
      <c r="Q292" s="4" t="s">
        <v>4518</v>
      </c>
      <c r="R292" t="s">
        <v>4511</v>
      </c>
      <c r="S292" s="178">
        <v>42331</v>
      </c>
      <c r="U292" t="s">
        <v>2301</v>
      </c>
      <c r="V292" s="178" t="s">
        <v>2604</v>
      </c>
      <c r="W292" s="178">
        <v>42331</v>
      </c>
      <c r="X292" s="6">
        <v>307800</v>
      </c>
      <c r="Y292" s="6">
        <f t="shared" si="29"/>
        <v>164858</v>
      </c>
    </row>
    <row r="293" spans="1:26" x14ac:dyDescent="0.25">
      <c r="A293" s="176" t="s">
        <v>4517</v>
      </c>
      <c r="B293" t="s">
        <v>90</v>
      </c>
      <c r="C293" t="s">
        <v>2613</v>
      </c>
      <c r="D293" t="s">
        <v>2724</v>
      </c>
      <c r="E293" t="s">
        <v>4516</v>
      </c>
      <c r="F293" t="s">
        <v>4515</v>
      </c>
      <c r="G293" t="s">
        <v>177</v>
      </c>
      <c r="H293" s="4" t="s">
        <v>178</v>
      </c>
      <c r="I293" t="s">
        <v>1276</v>
      </c>
      <c r="J293" t="s">
        <v>871</v>
      </c>
      <c r="K293" s="6">
        <v>47266</v>
      </c>
      <c r="L293" s="6">
        <f>N293*0.1</f>
        <v>5251.8</v>
      </c>
      <c r="M293" s="6">
        <f t="shared" si="28"/>
        <v>0.19999999999708962</v>
      </c>
      <c r="N293" s="6">
        <v>52518</v>
      </c>
      <c r="O293" s="184" t="s">
        <v>4514</v>
      </c>
      <c r="P293" s="176" t="s">
        <v>4513</v>
      </c>
      <c r="Q293" s="4" t="s">
        <v>4512</v>
      </c>
      <c r="R293" t="s">
        <v>4511</v>
      </c>
      <c r="S293" s="178">
        <v>42331</v>
      </c>
      <c r="U293" t="s">
        <v>2301</v>
      </c>
      <c r="V293" s="178" t="s">
        <v>2604</v>
      </c>
      <c r="W293" s="178">
        <v>42331</v>
      </c>
      <c r="X293" s="6">
        <v>34200</v>
      </c>
      <c r="Y293" s="6">
        <f t="shared" si="29"/>
        <v>13066</v>
      </c>
    </row>
    <row r="294" spans="1:26" x14ac:dyDescent="0.25">
      <c r="A294" s="188" t="s">
        <v>3258</v>
      </c>
      <c r="B294" t="s">
        <v>18</v>
      </c>
      <c r="C294" s="61" t="s">
        <v>2613</v>
      </c>
      <c r="D294" s="61" t="s">
        <v>364</v>
      </c>
      <c r="E294" s="61" t="s">
        <v>3257</v>
      </c>
      <c r="F294" s="61" t="s">
        <v>1180</v>
      </c>
      <c r="G294" s="61" t="s">
        <v>117</v>
      </c>
      <c r="H294" s="15" t="s">
        <v>119</v>
      </c>
      <c r="I294" s="15" t="s">
        <v>1277</v>
      </c>
      <c r="J294" s="15" t="s">
        <v>877</v>
      </c>
      <c r="K294" s="183">
        <v>99893</v>
      </c>
      <c r="L294" s="183">
        <f>K294*1.25-K294</f>
        <v>24973.25</v>
      </c>
      <c r="M294" s="183">
        <f t="shared" si="28"/>
        <v>-0.25</v>
      </c>
      <c r="N294" s="183">
        <v>124866</v>
      </c>
      <c r="O294" s="189" t="s">
        <v>3256</v>
      </c>
      <c r="P294" s="188" t="s">
        <v>3255</v>
      </c>
      <c r="Q294" s="61" t="s">
        <v>3254</v>
      </c>
      <c r="R294" s="61" t="s">
        <v>3253</v>
      </c>
      <c r="S294" s="185">
        <v>42577</v>
      </c>
      <c r="T294" s="61"/>
      <c r="U294" s="61" t="s">
        <v>1775</v>
      </c>
      <c r="V294" s="185" t="s">
        <v>2571</v>
      </c>
      <c r="W294" s="185">
        <v>42577</v>
      </c>
      <c r="X294" s="183">
        <v>99893</v>
      </c>
      <c r="Y294" s="183">
        <f t="shared" si="29"/>
        <v>0</v>
      </c>
      <c r="Z294" s="61"/>
    </row>
    <row r="295" spans="1:26" x14ac:dyDescent="0.25">
      <c r="A295" s="176" t="s">
        <v>2984</v>
      </c>
      <c r="B295" t="s">
        <v>18</v>
      </c>
      <c r="C295" s="61" t="s">
        <v>2613</v>
      </c>
      <c r="D295" s="61" t="s">
        <v>2983</v>
      </c>
      <c r="E295" s="61" t="s">
        <v>996</v>
      </c>
      <c r="F295" s="15" t="s">
        <v>2982</v>
      </c>
      <c r="G295" s="61" t="s">
        <v>72</v>
      </c>
      <c r="H295" s="4" t="s">
        <v>2609</v>
      </c>
      <c r="I295" s="4" t="s">
        <v>2581</v>
      </c>
      <c r="J295" s="4" t="s">
        <v>877</v>
      </c>
      <c r="K295" s="6">
        <v>242625</v>
      </c>
      <c r="L295" s="6">
        <f>N295*0.2</f>
        <v>72634.2</v>
      </c>
      <c r="M295" s="6">
        <f t="shared" si="28"/>
        <v>47911.799999999988</v>
      </c>
      <c r="N295" s="6">
        <v>363171</v>
      </c>
      <c r="O295" s="184" t="s">
        <v>2981</v>
      </c>
      <c r="P295" s="176" t="s">
        <v>2980</v>
      </c>
      <c r="Q295" s="21" t="s">
        <v>2979</v>
      </c>
      <c r="R295" t="s">
        <v>2978</v>
      </c>
      <c r="S295" s="178">
        <v>42531</v>
      </c>
      <c r="T295" s="178">
        <v>42580</v>
      </c>
      <c r="U295" s="186" t="s">
        <v>1775</v>
      </c>
      <c r="V295" s="178" t="s">
        <v>2604</v>
      </c>
      <c r="W295" s="178">
        <v>42608</v>
      </c>
      <c r="X295" s="6">
        <v>242625</v>
      </c>
      <c r="Y295" s="6">
        <f t="shared" si="29"/>
        <v>0</v>
      </c>
      <c r="Z295" s="61"/>
    </row>
    <row r="296" spans="1:26" x14ac:dyDescent="0.25">
      <c r="A296" s="188" t="s">
        <v>3263</v>
      </c>
      <c r="B296" t="s">
        <v>18</v>
      </c>
      <c r="C296" s="61" t="s">
        <v>2613</v>
      </c>
      <c r="D296" s="61" t="s">
        <v>967</v>
      </c>
      <c r="E296" s="61" t="s">
        <v>35</v>
      </c>
      <c r="F296" s="61" t="s">
        <v>1180</v>
      </c>
      <c r="G296" s="61" t="s">
        <v>117</v>
      </c>
      <c r="H296" s="15" t="s">
        <v>119</v>
      </c>
      <c r="I296" s="15" t="s">
        <v>2581</v>
      </c>
      <c r="J296" s="61" t="s">
        <v>868</v>
      </c>
      <c r="K296" s="183">
        <v>253327</v>
      </c>
      <c r="L296" s="183">
        <f>K296*1.25-K296</f>
        <v>63331.75</v>
      </c>
      <c r="M296" s="183">
        <f t="shared" si="28"/>
        <v>0.25</v>
      </c>
      <c r="N296" s="183">
        <v>316659</v>
      </c>
      <c r="O296" s="189" t="s">
        <v>3262</v>
      </c>
      <c r="P296" s="188" t="s">
        <v>3261</v>
      </c>
      <c r="Q296" s="61" t="s">
        <v>3260</v>
      </c>
      <c r="R296" s="61" t="s">
        <v>3259</v>
      </c>
      <c r="S296" s="185">
        <v>42577</v>
      </c>
      <c r="T296" s="185">
        <v>42577</v>
      </c>
      <c r="U296" s="61" t="s">
        <v>1775</v>
      </c>
      <c r="V296" s="185" t="s">
        <v>2571</v>
      </c>
      <c r="W296" s="185">
        <v>42577</v>
      </c>
      <c r="X296" s="183">
        <v>253327</v>
      </c>
      <c r="Y296" s="183">
        <f t="shared" si="29"/>
        <v>0</v>
      </c>
      <c r="Z296" s="61"/>
    </row>
    <row r="297" spans="1:26" ht="30" x14ac:dyDescent="0.25">
      <c r="A297" s="188" t="s">
        <v>3740</v>
      </c>
      <c r="B297" t="s">
        <v>90</v>
      </c>
      <c r="C297" s="61" t="s">
        <v>2613</v>
      </c>
      <c r="D297" s="61" t="s">
        <v>2644</v>
      </c>
      <c r="E297" s="61" t="s">
        <v>3042</v>
      </c>
      <c r="F297" s="15" t="s">
        <v>3739</v>
      </c>
      <c r="G297" s="61" t="s">
        <v>177</v>
      </c>
      <c r="H297" s="4" t="s">
        <v>178</v>
      </c>
      <c r="I297" s="4" t="s">
        <v>3040</v>
      </c>
      <c r="J297" s="4" t="s">
        <v>877</v>
      </c>
      <c r="K297" s="6">
        <v>57200</v>
      </c>
      <c r="L297" s="6">
        <f>N297*0.2</f>
        <v>14300</v>
      </c>
      <c r="M297" s="6">
        <f t="shared" si="28"/>
        <v>0</v>
      </c>
      <c r="N297" s="6">
        <v>71500</v>
      </c>
      <c r="O297" s="184" t="s">
        <v>3745</v>
      </c>
      <c r="P297" s="176" t="s">
        <v>3744</v>
      </c>
      <c r="Q297" s="21" t="s">
        <v>3746</v>
      </c>
      <c r="R297" t="s">
        <v>3742</v>
      </c>
      <c r="S297" s="178">
        <v>42531</v>
      </c>
      <c r="U297" t="s">
        <v>1775</v>
      </c>
      <c r="V297" s="178" t="s">
        <v>2571</v>
      </c>
      <c r="W297" s="178">
        <v>42531</v>
      </c>
      <c r="X297" s="6">
        <v>57200</v>
      </c>
      <c r="Y297" s="6">
        <f t="shared" si="29"/>
        <v>0</v>
      </c>
      <c r="Z297" s="61"/>
    </row>
    <row r="298" spans="1:26" ht="30" x14ac:dyDescent="0.25">
      <c r="A298" s="188" t="s">
        <v>3740</v>
      </c>
      <c r="B298" t="s">
        <v>90</v>
      </c>
      <c r="C298" s="61" t="s">
        <v>2613</v>
      </c>
      <c r="D298" s="61" t="s">
        <v>2644</v>
      </c>
      <c r="E298" s="61" t="s">
        <v>3042</v>
      </c>
      <c r="F298" s="15" t="s">
        <v>3739</v>
      </c>
      <c r="G298" s="61" t="s">
        <v>72</v>
      </c>
      <c r="H298" s="4" t="s">
        <v>2609</v>
      </c>
      <c r="I298" s="4" t="s">
        <v>3040</v>
      </c>
      <c r="J298" s="4" t="s">
        <v>877</v>
      </c>
      <c r="K298" s="6">
        <v>514800</v>
      </c>
      <c r="L298" s="6">
        <f>N298*0.2</f>
        <v>128700</v>
      </c>
      <c r="M298" s="6">
        <f t="shared" si="28"/>
        <v>0</v>
      </c>
      <c r="N298" s="6">
        <v>643500</v>
      </c>
      <c r="O298" s="184" t="s">
        <v>3745</v>
      </c>
      <c r="P298" s="176" t="s">
        <v>3744</v>
      </c>
      <c r="Q298" s="21" t="s">
        <v>3743</v>
      </c>
      <c r="R298" t="s">
        <v>3742</v>
      </c>
      <c r="S298" s="178">
        <v>42531</v>
      </c>
      <c r="U298" t="s">
        <v>1775</v>
      </c>
      <c r="V298" s="178" t="s">
        <v>2571</v>
      </c>
      <c r="W298" s="178">
        <v>42531</v>
      </c>
      <c r="X298" s="6">
        <v>514800</v>
      </c>
      <c r="Y298" s="6">
        <f t="shared" si="29"/>
        <v>0</v>
      </c>
      <c r="Z298" s="61"/>
    </row>
    <row r="299" spans="1:26" ht="30" x14ac:dyDescent="0.25">
      <c r="A299" s="188" t="s">
        <v>3740</v>
      </c>
      <c r="B299" t="s">
        <v>90</v>
      </c>
      <c r="C299" s="61" t="s">
        <v>2613</v>
      </c>
      <c r="D299" s="61" t="s">
        <v>2644</v>
      </c>
      <c r="E299" s="61" t="s">
        <v>3042</v>
      </c>
      <c r="F299" s="15" t="s">
        <v>3739</v>
      </c>
      <c r="G299" s="61" t="s">
        <v>177</v>
      </c>
      <c r="H299" s="4" t="s">
        <v>178</v>
      </c>
      <c r="I299" s="4" t="s">
        <v>3040</v>
      </c>
      <c r="J299" s="4" t="s">
        <v>877</v>
      </c>
      <c r="K299" s="6">
        <v>46400</v>
      </c>
      <c r="L299" s="6">
        <f>N299*0.2</f>
        <v>11600</v>
      </c>
      <c r="M299" s="6">
        <f t="shared" si="28"/>
        <v>0</v>
      </c>
      <c r="N299" s="6">
        <v>58000</v>
      </c>
      <c r="O299" s="184" t="s">
        <v>3738</v>
      </c>
      <c r="P299" s="176" t="s">
        <v>3737</v>
      </c>
      <c r="Q299" s="21" t="s">
        <v>3741</v>
      </c>
      <c r="R299" t="s">
        <v>3735</v>
      </c>
      <c r="S299" s="178">
        <v>42531</v>
      </c>
      <c r="U299" t="s">
        <v>1775</v>
      </c>
      <c r="V299" s="178" t="s">
        <v>2571</v>
      </c>
      <c r="W299" s="178">
        <v>42531</v>
      </c>
      <c r="X299" s="6">
        <v>46400</v>
      </c>
      <c r="Y299" s="6">
        <f t="shared" si="29"/>
        <v>0</v>
      </c>
      <c r="Z299" s="61"/>
    </row>
    <row r="300" spans="1:26" ht="30" x14ac:dyDescent="0.25">
      <c r="A300" s="188" t="s">
        <v>3740</v>
      </c>
      <c r="B300" t="s">
        <v>90</v>
      </c>
      <c r="C300" s="61" t="s">
        <v>2613</v>
      </c>
      <c r="D300" s="61" t="s">
        <v>2644</v>
      </c>
      <c r="E300" s="61" t="s">
        <v>3042</v>
      </c>
      <c r="F300" s="15" t="s">
        <v>3739</v>
      </c>
      <c r="G300" s="61" t="s">
        <v>72</v>
      </c>
      <c r="H300" s="4" t="s">
        <v>2609</v>
      </c>
      <c r="I300" s="4" t="s">
        <v>3040</v>
      </c>
      <c r="J300" s="4" t="s">
        <v>877</v>
      </c>
      <c r="K300" s="6">
        <v>417600</v>
      </c>
      <c r="L300" s="6">
        <f>N300*0.2</f>
        <v>104400</v>
      </c>
      <c r="M300" s="6">
        <f t="shared" si="28"/>
        <v>0</v>
      </c>
      <c r="N300" s="6">
        <v>522000</v>
      </c>
      <c r="O300" s="184" t="s">
        <v>3738</v>
      </c>
      <c r="P300" s="176" t="s">
        <v>3737</v>
      </c>
      <c r="Q300" s="21" t="s">
        <v>3736</v>
      </c>
      <c r="R300" t="s">
        <v>3735</v>
      </c>
      <c r="S300" s="178">
        <v>42531</v>
      </c>
      <c r="U300" t="s">
        <v>1775</v>
      </c>
      <c r="V300" s="178" t="s">
        <v>2571</v>
      </c>
      <c r="W300" s="178">
        <v>42531</v>
      </c>
      <c r="X300" s="6">
        <v>417600</v>
      </c>
      <c r="Y300" s="6">
        <f t="shared" si="29"/>
        <v>0</v>
      </c>
      <c r="Z300" s="61"/>
    </row>
    <row r="301" spans="1:26" x14ac:dyDescent="0.25">
      <c r="A301" s="188" t="s">
        <v>2725</v>
      </c>
      <c r="B301" t="s">
        <v>90</v>
      </c>
      <c r="C301" s="61" t="s">
        <v>2613</v>
      </c>
      <c r="D301" s="61" t="s">
        <v>2724</v>
      </c>
      <c r="E301" s="15" t="s">
        <v>233</v>
      </c>
      <c r="F301" s="15" t="s">
        <v>1144</v>
      </c>
      <c r="G301" s="61" t="s">
        <v>177</v>
      </c>
      <c r="H301" s="15" t="s">
        <v>178</v>
      </c>
      <c r="I301" s="15" t="s">
        <v>1275</v>
      </c>
      <c r="J301" s="15" t="s">
        <v>873</v>
      </c>
      <c r="K301" s="183">
        <v>59400</v>
      </c>
      <c r="L301" s="183">
        <f>N301*0.1</f>
        <v>6600</v>
      </c>
      <c r="M301" s="183">
        <f t="shared" si="28"/>
        <v>0</v>
      </c>
      <c r="N301" s="183">
        <v>66000</v>
      </c>
      <c r="O301" s="191" t="s">
        <v>2723</v>
      </c>
      <c r="P301" s="188" t="s">
        <v>2722</v>
      </c>
      <c r="Q301" s="61" t="s">
        <v>2726</v>
      </c>
      <c r="R301" s="61" t="s">
        <v>2720</v>
      </c>
      <c r="S301" s="185">
        <v>42634</v>
      </c>
      <c r="T301" s="185"/>
      <c r="U301" s="61" t="s">
        <v>1775</v>
      </c>
      <c r="V301" s="185" t="s">
        <v>2571</v>
      </c>
      <c r="W301" s="185">
        <v>42634</v>
      </c>
      <c r="X301" s="183">
        <v>59400</v>
      </c>
      <c r="Y301" s="183">
        <f t="shared" si="29"/>
        <v>0</v>
      </c>
      <c r="Z301" s="15"/>
    </row>
    <row r="302" spans="1:26" x14ac:dyDescent="0.25">
      <c r="A302" s="188" t="s">
        <v>2725</v>
      </c>
      <c r="B302" t="s">
        <v>90</v>
      </c>
      <c r="C302" s="61" t="s">
        <v>2613</v>
      </c>
      <c r="D302" s="61" t="s">
        <v>2724</v>
      </c>
      <c r="E302" s="15" t="s">
        <v>233</v>
      </c>
      <c r="F302" s="15" t="s">
        <v>1144</v>
      </c>
      <c r="G302" s="61" t="s">
        <v>72</v>
      </c>
      <c r="H302" s="15" t="s">
        <v>1817</v>
      </c>
      <c r="I302" s="15" t="s">
        <v>1275</v>
      </c>
      <c r="J302" s="15" t="s">
        <v>873</v>
      </c>
      <c r="K302" s="183">
        <v>534600</v>
      </c>
      <c r="L302" s="183">
        <f>N302*0.1</f>
        <v>59400</v>
      </c>
      <c r="M302" s="183">
        <f t="shared" si="28"/>
        <v>0</v>
      </c>
      <c r="N302" s="183">
        <f>396000+198000</f>
        <v>594000</v>
      </c>
      <c r="O302" s="191" t="s">
        <v>2723</v>
      </c>
      <c r="P302" s="188" t="s">
        <v>2722</v>
      </c>
      <c r="Q302" s="61" t="s">
        <v>2721</v>
      </c>
      <c r="R302" s="61" t="s">
        <v>2720</v>
      </c>
      <c r="S302" s="185">
        <v>42634</v>
      </c>
      <c r="T302" s="185">
        <v>42629</v>
      </c>
      <c r="U302" s="61" t="s">
        <v>1775</v>
      </c>
      <c r="V302" s="185" t="s">
        <v>2571</v>
      </c>
      <c r="W302" s="185">
        <v>42634</v>
      </c>
      <c r="X302" s="183">
        <v>534600</v>
      </c>
      <c r="Y302" s="183">
        <f t="shared" si="29"/>
        <v>0</v>
      </c>
      <c r="Z302" s="15"/>
    </row>
    <row r="303" spans="1:26" x14ac:dyDescent="0.25">
      <c r="A303" s="172" t="s">
        <v>4471</v>
      </c>
      <c r="B303" t="s">
        <v>18</v>
      </c>
      <c r="C303" s="11" t="s">
        <v>150</v>
      </c>
      <c r="D303" s="11" t="s">
        <v>495</v>
      </c>
      <c r="E303" s="11" t="s">
        <v>251</v>
      </c>
      <c r="F303" s="11" t="s">
        <v>4470</v>
      </c>
      <c r="G303" s="11" t="s">
        <v>73</v>
      </c>
      <c r="H303" s="11" t="s">
        <v>245</v>
      </c>
      <c r="I303" t="s">
        <v>2581</v>
      </c>
      <c r="J303" s="172" t="s">
        <v>877</v>
      </c>
      <c r="K303" s="12">
        <v>860000</v>
      </c>
      <c r="L303" s="9">
        <f>N303-(K303+M303)</f>
        <v>238000</v>
      </c>
      <c r="M303" s="9">
        <v>102000</v>
      </c>
      <c r="N303" s="12">
        <v>1200000</v>
      </c>
      <c r="O303" s="204" t="s">
        <v>4469</v>
      </c>
      <c r="P303" s="172" t="s">
        <v>4468</v>
      </c>
      <c r="Q303" s="172" t="s">
        <v>4467</v>
      </c>
      <c r="R303" s="11" t="s">
        <v>4466</v>
      </c>
      <c r="S303" s="203">
        <v>42307</v>
      </c>
      <c r="T303" s="11"/>
      <c r="U303" s="11" t="s">
        <v>1775</v>
      </c>
      <c r="V303" s="11" t="s">
        <v>2604</v>
      </c>
      <c r="W303" s="203">
        <v>42345</v>
      </c>
      <c r="X303" s="12">
        <v>860000</v>
      </c>
      <c r="Y303" s="6">
        <f t="shared" si="29"/>
        <v>0</v>
      </c>
      <c r="Z303" s="11"/>
    </row>
    <row r="304" spans="1:26" x14ac:dyDescent="0.25">
      <c r="A304" s="176" t="s">
        <v>3374</v>
      </c>
      <c r="B304" t="s">
        <v>18</v>
      </c>
      <c r="C304" t="s">
        <v>150</v>
      </c>
      <c r="D304" t="s">
        <v>934</v>
      </c>
      <c r="E304" t="s">
        <v>3373</v>
      </c>
      <c r="F304" t="s">
        <v>3372</v>
      </c>
      <c r="G304" t="s">
        <v>177</v>
      </c>
      <c r="H304" s="4" t="s">
        <v>178</v>
      </c>
      <c r="I304" t="s">
        <v>2581</v>
      </c>
      <c r="J304" t="s">
        <v>877</v>
      </c>
      <c r="K304" s="6">
        <v>15000</v>
      </c>
      <c r="L304" s="6">
        <f t="shared" ref="L304:L312" si="31">N304*0.2</f>
        <v>4000</v>
      </c>
      <c r="M304" s="6">
        <f t="shared" ref="M304:M320" si="32">N304-(K304+L304)</f>
        <v>1000</v>
      </c>
      <c r="N304" s="6">
        <v>20000</v>
      </c>
      <c r="O304" s="184" t="s">
        <v>3371</v>
      </c>
      <c r="P304" s="176" t="s">
        <v>3370</v>
      </c>
      <c r="Q304" t="s">
        <v>3375</v>
      </c>
      <c r="R304" t="s">
        <v>3368</v>
      </c>
      <c r="S304" s="178">
        <v>42485</v>
      </c>
      <c r="U304" t="s">
        <v>1775</v>
      </c>
      <c r="V304" s="178" t="s">
        <v>2604</v>
      </c>
      <c r="W304" s="178">
        <v>42570</v>
      </c>
      <c r="X304" s="6">
        <v>15000</v>
      </c>
      <c r="Y304" s="6">
        <f t="shared" si="29"/>
        <v>0</v>
      </c>
    </row>
    <row r="305" spans="1:26" x14ac:dyDescent="0.25">
      <c r="A305" s="176" t="s">
        <v>3374</v>
      </c>
      <c r="B305" t="s">
        <v>18</v>
      </c>
      <c r="C305" t="s">
        <v>150</v>
      </c>
      <c r="D305" t="s">
        <v>934</v>
      </c>
      <c r="E305" t="s">
        <v>3373</v>
      </c>
      <c r="F305" t="s">
        <v>3372</v>
      </c>
      <c r="G305" t="s">
        <v>72</v>
      </c>
      <c r="H305" s="4" t="s">
        <v>2609</v>
      </c>
      <c r="I305" t="s">
        <v>2581</v>
      </c>
      <c r="J305" t="s">
        <v>877</v>
      </c>
      <c r="K305" s="6">
        <v>99350</v>
      </c>
      <c r="L305" s="6">
        <f t="shared" si="31"/>
        <v>26493.200000000001</v>
      </c>
      <c r="M305" s="6">
        <f t="shared" si="32"/>
        <v>6622.8000000000029</v>
      </c>
      <c r="N305" s="6">
        <v>132466</v>
      </c>
      <c r="O305" s="184" t="s">
        <v>3371</v>
      </c>
      <c r="P305" s="176" t="s">
        <v>3370</v>
      </c>
      <c r="Q305" t="s">
        <v>3369</v>
      </c>
      <c r="R305" t="s">
        <v>3368</v>
      </c>
      <c r="S305" s="178">
        <v>42485</v>
      </c>
      <c r="U305" t="s">
        <v>1775</v>
      </c>
      <c r="V305" s="178" t="s">
        <v>2604</v>
      </c>
      <c r="W305" s="178">
        <v>42570</v>
      </c>
      <c r="X305" s="6">
        <v>136200</v>
      </c>
      <c r="Y305" s="6">
        <f t="shared" si="29"/>
        <v>-36850</v>
      </c>
    </row>
    <row r="306" spans="1:26" x14ac:dyDescent="0.25">
      <c r="A306" s="176" t="s">
        <v>4493</v>
      </c>
      <c r="B306" t="s">
        <v>18</v>
      </c>
      <c r="C306" t="s">
        <v>150</v>
      </c>
      <c r="D306" t="s">
        <v>3822</v>
      </c>
      <c r="E306" t="s">
        <v>4492</v>
      </c>
      <c r="F306" t="s">
        <v>4491</v>
      </c>
      <c r="G306" t="s">
        <v>72</v>
      </c>
      <c r="H306" s="4" t="s">
        <v>651</v>
      </c>
      <c r="I306" t="s">
        <v>1277</v>
      </c>
      <c r="J306" t="s">
        <v>877</v>
      </c>
      <c r="K306" s="6">
        <v>1276000</v>
      </c>
      <c r="L306" s="6">
        <f t="shared" si="31"/>
        <v>319000</v>
      </c>
      <c r="M306" s="6">
        <f t="shared" si="32"/>
        <v>0</v>
      </c>
      <c r="N306" s="6">
        <v>1595000</v>
      </c>
      <c r="O306" s="184" t="s">
        <v>4490</v>
      </c>
      <c r="P306" s="176" t="s">
        <v>4489</v>
      </c>
      <c r="Q306" s="4" t="s">
        <v>4494</v>
      </c>
      <c r="R306" t="s">
        <v>4487</v>
      </c>
      <c r="S306" s="178">
        <v>42338</v>
      </c>
      <c r="U306" t="s">
        <v>1775</v>
      </c>
      <c r="V306" s="178" t="s">
        <v>2571</v>
      </c>
      <c r="W306" s="178">
        <v>42338</v>
      </c>
      <c r="X306" s="6">
        <v>1276000</v>
      </c>
      <c r="Y306" s="6">
        <f t="shared" si="29"/>
        <v>0</v>
      </c>
    </row>
    <row r="307" spans="1:26" x14ac:dyDescent="0.25">
      <c r="A307" s="176" t="s">
        <v>4493</v>
      </c>
      <c r="B307" t="s">
        <v>18</v>
      </c>
      <c r="C307" t="s">
        <v>150</v>
      </c>
      <c r="D307" t="s">
        <v>3822</v>
      </c>
      <c r="E307" t="s">
        <v>4492</v>
      </c>
      <c r="F307" t="s">
        <v>4491</v>
      </c>
      <c r="G307" t="s">
        <v>177</v>
      </c>
      <c r="H307" s="4" t="s">
        <v>178</v>
      </c>
      <c r="I307" t="s">
        <v>1277</v>
      </c>
      <c r="J307" t="s">
        <v>877</v>
      </c>
      <c r="K307" s="6">
        <v>165360</v>
      </c>
      <c r="L307" s="6">
        <f t="shared" si="31"/>
        <v>41340</v>
      </c>
      <c r="M307" s="6">
        <f t="shared" si="32"/>
        <v>0</v>
      </c>
      <c r="N307" s="6">
        <v>206700</v>
      </c>
      <c r="O307" s="184" t="s">
        <v>4490</v>
      </c>
      <c r="P307" s="176" t="s">
        <v>4489</v>
      </c>
      <c r="Q307" s="4" t="s">
        <v>4488</v>
      </c>
      <c r="R307" t="s">
        <v>4487</v>
      </c>
      <c r="S307" s="178">
        <v>42338</v>
      </c>
      <c r="U307" t="s">
        <v>1775</v>
      </c>
      <c r="V307" s="178" t="s">
        <v>2571</v>
      </c>
      <c r="W307" s="178">
        <v>42338</v>
      </c>
      <c r="X307" s="6">
        <v>165360</v>
      </c>
      <c r="Y307" s="6">
        <f t="shared" si="29"/>
        <v>0</v>
      </c>
    </row>
    <row r="308" spans="1:26" x14ac:dyDescent="0.25">
      <c r="A308" s="176" t="s">
        <v>3063</v>
      </c>
      <c r="B308" t="s">
        <v>18</v>
      </c>
      <c r="C308" t="s">
        <v>150</v>
      </c>
      <c r="D308" t="s">
        <v>3062</v>
      </c>
      <c r="E308" t="s">
        <v>3061</v>
      </c>
      <c r="F308" t="s">
        <v>176</v>
      </c>
      <c r="G308" t="s">
        <v>177</v>
      </c>
      <c r="H308" s="4" t="s">
        <v>178</v>
      </c>
      <c r="I308" t="s">
        <v>1277</v>
      </c>
      <c r="J308" t="s">
        <v>877</v>
      </c>
      <c r="K308" s="6">
        <v>171520</v>
      </c>
      <c r="L308" s="6">
        <f t="shared" si="31"/>
        <v>42880</v>
      </c>
      <c r="M308" s="6">
        <f t="shared" si="32"/>
        <v>0</v>
      </c>
      <c r="N308" s="6">
        <v>214400</v>
      </c>
      <c r="O308" s="184" t="s">
        <v>3060</v>
      </c>
      <c r="P308" s="176" t="s">
        <v>3059</v>
      </c>
      <c r="Q308" t="s">
        <v>3064</v>
      </c>
      <c r="R308" t="s">
        <v>3057</v>
      </c>
      <c r="S308" s="178">
        <v>42593</v>
      </c>
      <c r="T308" s="178"/>
      <c r="V308" s="178" t="s">
        <v>2571</v>
      </c>
      <c r="W308" s="178">
        <v>42593</v>
      </c>
      <c r="X308" s="6">
        <v>171520</v>
      </c>
      <c r="Y308" s="6">
        <f t="shared" si="29"/>
        <v>0</v>
      </c>
    </row>
    <row r="309" spans="1:26" x14ac:dyDescent="0.25">
      <c r="A309" s="176" t="s">
        <v>3063</v>
      </c>
      <c r="B309" t="s">
        <v>18</v>
      </c>
      <c r="C309" t="s">
        <v>150</v>
      </c>
      <c r="D309" t="s">
        <v>3062</v>
      </c>
      <c r="E309" t="s">
        <v>3061</v>
      </c>
      <c r="F309" t="s">
        <v>176</v>
      </c>
      <c r="G309" t="s">
        <v>72</v>
      </c>
      <c r="H309" s="4" t="s">
        <v>2886</v>
      </c>
      <c r="I309" t="s">
        <v>1277</v>
      </c>
      <c r="J309" t="s">
        <v>877</v>
      </c>
      <c r="K309" s="6">
        <v>1920000</v>
      </c>
      <c r="L309" s="6">
        <f t="shared" si="31"/>
        <v>480000</v>
      </c>
      <c r="M309" s="6">
        <f t="shared" si="32"/>
        <v>0</v>
      </c>
      <c r="N309" s="6">
        <v>2400000</v>
      </c>
      <c r="O309" s="184" t="s">
        <v>3060</v>
      </c>
      <c r="P309" s="176" t="s">
        <v>3059</v>
      </c>
      <c r="Q309" t="s">
        <v>3058</v>
      </c>
      <c r="R309" t="s">
        <v>3057</v>
      </c>
      <c r="S309" s="178">
        <v>42593</v>
      </c>
      <c r="T309" s="178">
        <v>42629</v>
      </c>
      <c r="U309" s="61" t="s">
        <v>1775</v>
      </c>
      <c r="V309" s="178" t="s">
        <v>2571</v>
      </c>
      <c r="W309" s="178">
        <v>42593</v>
      </c>
      <c r="X309" s="6">
        <v>1920000</v>
      </c>
      <c r="Y309" s="6">
        <f t="shared" si="29"/>
        <v>0</v>
      </c>
    </row>
    <row r="310" spans="1:26" ht="45" x14ac:dyDescent="0.25">
      <c r="A310" s="176" t="s">
        <v>4543</v>
      </c>
      <c r="B310" t="s">
        <v>18</v>
      </c>
      <c r="C310" t="s">
        <v>150</v>
      </c>
      <c r="D310" t="s">
        <v>3062</v>
      </c>
      <c r="E310" t="s">
        <v>4542</v>
      </c>
      <c r="F310" t="s">
        <v>4541</v>
      </c>
      <c r="G310" t="s">
        <v>72</v>
      </c>
      <c r="H310" s="4" t="s">
        <v>2635</v>
      </c>
      <c r="I310" s="4" t="s">
        <v>2781</v>
      </c>
      <c r="J310" t="s">
        <v>887</v>
      </c>
      <c r="K310" s="6">
        <v>913936</v>
      </c>
      <c r="L310" s="6">
        <f t="shared" si="31"/>
        <v>269450.8</v>
      </c>
      <c r="M310" s="6">
        <f t="shared" si="32"/>
        <v>163867.19999999995</v>
      </c>
      <c r="N310" s="6">
        <v>1347254</v>
      </c>
      <c r="O310" s="184" t="s">
        <v>4540</v>
      </c>
      <c r="P310" s="176" t="s">
        <v>4539</v>
      </c>
      <c r="Q310" s="4" t="s">
        <v>4538</v>
      </c>
      <c r="R310" t="s">
        <v>4537</v>
      </c>
      <c r="S310" s="178">
        <v>42326</v>
      </c>
      <c r="U310" t="s">
        <v>1775</v>
      </c>
      <c r="V310" s="178" t="s">
        <v>2571</v>
      </c>
      <c r="W310" s="178">
        <v>42326</v>
      </c>
      <c r="X310" s="6">
        <v>64000</v>
      </c>
      <c r="Y310" s="6">
        <f t="shared" si="29"/>
        <v>849936</v>
      </c>
    </row>
    <row r="311" spans="1:26" ht="45" x14ac:dyDescent="0.25">
      <c r="A311" s="176" t="s">
        <v>4543</v>
      </c>
      <c r="B311" t="s">
        <v>18</v>
      </c>
      <c r="C311" t="s">
        <v>150</v>
      </c>
      <c r="D311" t="s">
        <v>3062</v>
      </c>
      <c r="E311" t="s">
        <v>4542</v>
      </c>
      <c r="F311" t="s">
        <v>4541</v>
      </c>
      <c r="G311" t="s">
        <v>177</v>
      </c>
      <c r="H311" s="4" t="s">
        <v>178</v>
      </c>
      <c r="I311" s="4" t="s">
        <v>2781</v>
      </c>
      <c r="J311" t="s">
        <v>887</v>
      </c>
      <c r="K311" s="6">
        <v>64000</v>
      </c>
      <c r="L311" s="6">
        <f t="shared" si="31"/>
        <v>18109.8</v>
      </c>
      <c r="M311" s="6">
        <f t="shared" si="32"/>
        <v>8439.1999999999971</v>
      </c>
      <c r="N311" s="6">
        <v>90549</v>
      </c>
      <c r="O311" s="184" t="s">
        <v>4540</v>
      </c>
      <c r="P311" s="176" t="s">
        <v>4539</v>
      </c>
      <c r="Q311" s="4" t="s">
        <v>4538</v>
      </c>
      <c r="R311" t="s">
        <v>4537</v>
      </c>
      <c r="S311" s="178">
        <v>42326</v>
      </c>
      <c r="U311" t="s">
        <v>1775</v>
      </c>
      <c r="V311" s="178" t="s">
        <v>2571</v>
      </c>
      <c r="W311" s="178">
        <v>42326</v>
      </c>
      <c r="X311" s="6">
        <v>913936</v>
      </c>
      <c r="Y311" s="6">
        <f t="shared" si="29"/>
        <v>-849936</v>
      </c>
    </row>
    <row r="312" spans="1:26" x14ac:dyDescent="0.25">
      <c r="A312" s="176" t="s">
        <v>2594</v>
      </c>
      <c r="B312" t="s">
        <v>18</v>
      </c>
      <c r="C312" t="s">
        <v>150</v>
      </c>
      <c r="D312" t="s">
        <v>2593</v>
      </c>
      <c r="E312" t="s">
        <v>3472</v>
      </c>
      <c r="F312" t="s">
        <v>3471</v>
      </c>
      <c r="G312" t="s">
        <v>212</v>
      </c>
      <c r="H312" s="4" t="s">
        <v>213</v>
      </c>
      <c r="I312" t="s">
        <v>1277</v>
      </c>
      <c r="J312" t="s">
        <v>873</v>
      </c>
      <c r="K312" s="6">
        <v>77288</v>
      </c>
      <c r="L312" s="183">
        <f t="shared" si="31"/>
        <v>19322</v>
      </c>
      <c r="M312" s="6">
        <f t="shared" si="32"/>
        <v>0</v>
      </c>
      <c r="N312" s="6">
        <v>96610</v>
      </c>
      <c r="O312" s="184" t="s">
        <v>4594</v>
      </c>
      <c r="P312" s="176" t="s">
        <v>4593</v>
      </c>
      <c r="Q312" t="s">
        <v>4592</v>
      </c>
      <c r="R312" t="s">
        <v>2586</v>
      </c>
      <c r="S312" s="178">
        <v>42325</v>
      </c>
      <c r="U312" t="s">
        <v>1775</v>
      </c>
      <c r="V312" s="178" t="s">
        <v>2571</v>
      </c>
      <c r="W312" s="178">
        <v>42314</v>
      </c>
      <c r="X312" s="6">
        <v>77288</v>
      </c>
      <c r="Y312" s="6">
        <f t="shared" si="29"/>
        <v>0</v>
      </c>
    </row>
    <row r="313" spans="1:26" x14ac:dyDescent="0.25">
      <c r="A313" s="176" t="s">
        <v>2594</v>
      </c>
      <c r="B313" t="s">
        <v>18</v>
      </c>
      <c r="C313" s="61" t="s">
        <v>150</v>
      </c>
      <c r="D313" t="s">
        <v>2593</v>
      </c>
      <c r="E313" s="61" t="s">
        <v>2592</v>
      </c>
      <c r="F313" s="61" t="s">
        <v>2591</v>
      </c>
      <c r="G313" s="61" t="s">
        <v>177</v>
      </c>
      <c r="H313" s="4" t="s">
        <v>178</v>
      </c>
      <c r="I313" s="61" t="s">
        <v>1277</v>
      </c>
      <c r="J313" t="s">
        <v>2590</v>
      </c>
      <c r="K313" s="6">
        <v>91840</v>
      </c>
      <c r="L313" s="6">
        <f>K313*1.25-K313</f>
        <v>22960</v>
      </c>
      <c r="M313" s="6">
        <f t="shared" si="32"/>
        <v>0</v>
      </c>
      <c r="N313" s="6">
        <v>114800</v>
      </c>
      <c r="O313" s="184" t="s">
        <v>2589</v>
      </c>
      <c r="P313" s="176" t="s">
        <v>2588</v>
      </c>
      <c r="Q313" s="61" t="s">
        <v>2587</v>
      </c>
      <c r="R313" s="61" t="s">
        <v>2586</v>
      </c>
      <c r="S313" s="178">
        <v>42586</v>
      </c>
      <c r="U313" s="61" t="s">
        <v>1775</v>
      </c>
      <c r="V313" s="178" t="s">
        <v>2571</v>
      </c>
      <c r="W313" s="178">
        <v>42586</v>
      </c>
      <c r="X313" s="6">
        <v>91840</v>
      </c>
      <c r="Y313" s="6">
        <f t="shared" si="29"/>
        <v>0</v>
      </c>
    </row>
    <row r="314" spans="1:26" x14ac:dyDescent="0.25">
      <c r="A314" s="176" t="s">
        <v>2594</v>
      </c>
      <c r="B314" t="s">
        <v>18</v>
      </c>
      <c r="C314" s="61" t="s">
        <v>150</v>
      </c>
      <c r="D314" t="s">
        <v>2593</v>
      </c>
      <c r="E314" s="61" t="s">
        <v>2592</v>
      </c>
      <c r="F314" s="61" t="s">
        <v>2591</v>
      </c>
      <c r="G314" s="61" t="s">
        <v>72</v>
      </c>
      <c r="H314" s="4" t="s">
        <v>1195</v>
      </c>
      <c r="I314" s="61" t="s">
        <v>1277</v>
      </c>
      <c r="J314" t="s">
        <v>2590</v>
      </c>
      <c r="K314" s="6">
        <v>705600</v>
      </c>
      <c r="L314" s="6">
        <f>K314*1.25-K314</f>
        <v>176400</v>
      </c>
      <c r="M314" s="6">
        <f t="shared" si="32"/>
        <v>0</v>
      </c>
      <c r="N314" s="6">
        <v>882000</v>
      </c>
      <c r="O314" s="184" t="s">
        <v>2589</v>
      </c>
      <c r="P314" s="176" t="s">
        <v>2588</v>
      </c>
      <c r="Q314" s="61" t="s">
        <v>2587</v>
      </c>
      <c r="R314" s="61" t="s">
        <v>2586</v>
      </c>
      <c r="S314" s="178">
        <v>42586</v>
      </c>
      <c r="U314" s="61"/>
      <c r="V314" s="178"/>
      <c r="W314" s="178"/>
      <c r="X314" s="6">
        <v>705600</v>
      </c>
      <c r="Y314" s="6">
        <f t="shared" si="29"/>
        <v>0</v>
      </c>
    </row>
    <row r="315" spans="1:26" x14ac:dyDescent="0.25">
      <c r="A315" s="176" t="s">
        <v>3473</v>
      </c>
      <c r="B315" t="s">
        <v>18</v>
      </c>
      <c r="C315" t="s">
        <v>150</v>
      </c>
      <c r="D315" t="s">
        <v>163</v>
      </c>
      <c r="E315" t="s">
        <v>3472</v>
      </c>
      <c r="F315" t="s">
        <v>3471</v>
      </c>
      <c r="G315" t="s">
        <v>177</v>
      </c>
      <c r="H315" s="4" t="s">
        <v>178</v>
      </c>
      <c r="I315" t="s">
        <v>1277</v>
      </c>
      <c r="J315" t="s">
        <v>882</v>
      </c>
      <c r="K315" s="6">
        <v>74400</v>
      </c>
      <c r="L315" s="6">
        <f>N315*0.2</f>
        <v>18600</v>
      </c>
      <c r="M315" s="6">
        <f t="shared" si="32"/>
        <v>0</v>
      </c>
      <c r="N315" s="6">
        <v>93000</v>
      </c>
      <c r="O315" s="184" t="s">
        <v>3470</v>
      </c>
      <c r="P315" s="176" t="s">
        <v>3469</v>
      </c>
      <c r="Q315" t="s">
        <v>3474</v>
      </c>
      <c r="R315" t="s">
        <v>3467</v>
      </c>
      <c r="S315" s="178">
        <v>42390</v>
      </c>
      <c r="U315" t="s">
        <v>2301</v>
      </c>
      <c r="V315" s="178" t="s">
        <v>2604</v>
      </c>
      <c r="W315" s="178">
        <v>42565</v>
      </c>
      <c r="X315" s="6">
        <v>74400</v>
      </c>
      <c r="Y315" s="6">
        <f t="shared" si="29"/>
        <v>0</v>
      </c>
    </row>
    <row r="316" spans="1:26" x14ac:dyDescent="0.25">
      <c r="A316" s="176" t="s">
        <v>3473</v>
      </c>
      <c r="B316" t="s">
        <v>18</v>
      </c>
      <c r="C316" t="s">
        <v>150</v>
      </c>
      <c r="D316" t="s">
        <v>163</v>
      </c>
      <c r="E316" t="s">
        <v>3472</v>
      </c>
      <c r="F316" t="s">
        <v>3471</v>
      </c>
      <c r="G316" t="s">
        <v>72</v>
      </c>
      <c r="H316" s="4" t="s">
        <v>651</v>
      </c>
      <c r="I316" t="s">
        <v>1277</v>
      </c>
      <c r="J316" t="s">
        <v>882</v>
      </c>
      <c r="K316" s="6">
        <f>217331+274730</f>
        <v>492061</v>
      </c>
      <c r="L316" s="6">
        <f>N316*0.2</f>
        <v>123015.20000000001</v>
      </c>
      <c r="M316" s="6">
        <f t="shared" si="32"/>
        <v>-0.19999999995343387</v>
      </c>
      <c r="N316" s="6">
        <f>271664+343412</f>
        <v>615076</v>
      </c>
      <c r="O316" s="184" t="s">
        <v>3470</v>
      </c>
      <c r="P316" s="176" t="s">
        <v>3469</v>
      </c>
      <c r="Q316" t="s">
        <v>3468</v>
      </c>
      <c r="R316" t="s">
        <v>3467</v>
      </c>
      <c r="S316" s="178">
        <v>42390</v>
      </c>
      <c r="U316" t="s">
        <v>2301</v>
      </c>
      <c r="V316" s="178" t="s">
        <v>2604</v>
      </c>
      <c r="W316" s="178">
        <v>42565</v>
      </c>
      <c r="X316" s="6">
        <v>536000</v>
      </c>
      <c r="Y316" s="6">
        <f t="shared" si="29"/>
        <v>-43939</v>
      </c>
    </row>
    <row r="317" spans="1:26" x14ac:dyDescent="0.25">
      <c r="A317" s="176" t="s">
        <v>3806</v>
      </c>
      <c r="B317" t="s">
        <v>18</v>
      </c>
      <c r="C317" t="s">
        <v>150</v>
      </c>
      <c r="D317" t="s">
        <v>250</v>
      </c>
      <c r="E317" t="s">
        <v>3805</v>
      </c>
      <c r="F317" t="s">
        <v>3804</v>
      </c>
      <c r="G317" t="s">
        <v>177</v>
      </c>
      <c r="H317" s="4" t="s">
        <v>178</v>
      </c>
      <c r="I317" t="s">
        <v>2581</v>
      </c>
      <c r="J317" t="s">
        <v>877</v>
      </c>
      <c r="K317" s="6">
        <v>37500</v>
      </c>
      <c r="L317" s="6">
        <f>N317*0.25</f>
        <v>12500</v>
      </c>
      <c r="M317" s="6">
        <f t="shared" si="32"/>
        <v>0</v>
      </c>
      <c r="N317" s="6">
        <v>50000</v>
      </c>
      <c r="O317" s="184" t="s">
        <v>3803</v>
      </c>
      <c r="P317" s="176" t="s">
        <v>3802</v>
      </c>
      <c r="Q317" t="s">
        <v>3807</v>
      </c>
      <c r="R317" t="s">
        <v>3800</v>
      </c>
      <c r="S317" s="178">
        <v>42436</v>
      </c>
      <c r="U317" t="s">
        <v>1775</v>
      </c>
      <c r="V317" s="178" t="s">
        <v>2604</v>
      </c>
      <c r="W317" s="178">
        <v>42516</v>
      </c>
      <c r="X317" s="6">
        <v>37500</v>
      </c>
      <c r="Y317" s="6">
        <f t="shared" si="29"/>
        <v>0</v>
      </c>
      <c r="Z317" t="s">
        <v>2905</v>
      </c>
    </row>
    <row r="318" spans="1:26" x14ac:dyDescent="0.25">
      <c r="A318" s="176" t="s">
        <v>3806</v>
      </c>
      <c r="B318" t="s">
        <v>18</v>
      </c>
      <c r="C318" t="s">
        <v>150</v>
      </c>
      <c r="D318" t="s">
        <v>250</v>
      </c>
      <c r="E318" t="s">
        <v>3805</v>
      </c>
      <c r="F318" t="s">
        <v>3804</v>
      </c>
      <c r="G318" t="s">
        <v>72</v>
      </c>
      <c r="H318" s="4" t="s">
        <v>2609</v>
      </c>
      <c r="I318" t="s">
        <v>2581</v>
      </c>
      <c r="J318" t="s">
        <v>877</v>
      </c>
      <c r="K318" s="6">
        <v>149976</v>
      </c>
      <c r="L318" s="6">
        <f>N318*0.25</f>
        <v>49992</v>
      </c>
      <c r="M318" s="6">
        <f t="shared" si="32"/>
        <v>0</v>
      </c>
      <c r="N318" s="6">
        <v>199968</v>
      </c>
      <c r="O318" s="184" t="s">
        <v>3803</v>
      </c>
      <c r="P318" s="176" t="s">
        <v>3802</v>
      </c>
      <c r="Q318" t="s">
        <v>3801</v>
      </c>
      <c r="R318" t="s">
        <v>3800</v>
      </c>
      <c r="S318" s="178">
        <v>42436</v>
      </c>
      <c r="T318" s="178">
        <v>42482</v>
      </c>
      <c r="U318" t="s">
        <v>1775</v>
      </c>
      <c r="V318" s="178" t="s">
        <v>2604</v>
      </c>
      <c r="W318" s="178">
        <v>42516</v>
      </c>
      <c r="X318" s="6">
        <v>243750</v>
      </c>
      <c r="Y318" s="6">
        <f t="shared" si="29"/>
        <v>-93774</v>
      </c>
      <c r="Z318" t="s">
        <v>2905</v>
      </c>
    </row>
    <row r="319" spans="1:26" x14ac:dyDescent="0.25">
      <c r="A319" s="176" t="s">
        <v>3823</v>
      </c>
      <c r="B319" t="s">
        <v>18</v>
      </c>
      <c r="C319" t="s">
        <v>150</v>
      </c>
      <c r="D319" t="s">
        <v>3822</v>
      </c>
      <c r="E319" t="s">
        <v>3821</v>
      </c>
      <c r="F319" t="s">
        <v>3820</v>
      </c>
      <c r="G319" t="s">
        <v>177</v>
      </c>
      <c r="H319" s="4" t="s">
        <v>178</v>
      </c>
      <c r="I319" t="s">
        <v>2581</v>
      </c>
      <c r="J319" t="s">
        <v>877</v>
      </c>
      <c r="K319" s="6">
        <v>34500</v>
      </c>
      <c r="L319" s="6">
        <f>N319*0.25</f>
        <v>11500</v>
      </c>
      <c r="M319" s="6">
        <f t="shared" si="32"/>
        <v>0</v>
      </c>
      <c r="N319" s="6">
        <v>46000</v>
      </c>
      <c r="O319" s="184" t="s">
        <v>3819</v>
      </c>
      <c r="P319" s="176" t="s">
        <v>3818</v>
      </c>
      <c r="Q319" t="s">
        <v>3824</v>
      </c>
      <c r="R319" t="s">
        <v>3816</v>
      </c>
      <c r="S319" s="178">
        <v>42430</v>
      </c>
      <c r="U319" t="s">
        <v>1775</v>
      </c>
      <c r="V319" s="178" t="s">
        <v>2604</v>
      </c>
      <c r="W319" s="178">
        <v>42516</v>
      </c>
      <c r="X319" s="6">
        <v>34500</v>
      </c>
      <c r="Y319" s="6">
        <f t="shared" si="29"/>
        <v>0</v>
      </c>
      <c r="Z319" t="s">
        <v>2905</v>
      </c>
    </row>
    <row r="320" spans="1:26" x14ac:dyDescent="0.25">
      <c r="A320" s="176" t="s">
        <v>3823</v>
      </c>
      <c r="B320" t="s">
        <v>18</v>
      </c>
      <c r="C320" t="s">
        <v>150</v>
      </c>
      <c r="D320" t="s">
        <v>3822</v>
      </c>
      <c r="E320" t="s">
        <v>3821</v>
      </c>
      <c r="F320" t="s">
        <v>3820</v>
      </c>
      <c r="G320" t="s">
        <v>72</v>
      </c>
      <c r="H320" s="4" t="s">
        <v>2609</v>
      </c>
      <c r="I320" t="s">
        <v>2581</v>
      </c>
      <c r="J320" t="s">
        <v>877</v>
      </c>
      <c r="K320" s="6">
        <v>250515</v>
      </c>
      <c r="L320" s="6">
        <f>N320*0.25</f>
        <v>83505</v>
      </c>
      <c r="M320" s="6">
        <f t="shared" si="32"/>
        <v>0</v>
      </c>
      <c r="N320" s="6">
        <v>334020</v>
      </c>
      <c r="O320" s="184" t="s">
        <v>3819</v>
      </c>
      <c r="P320" s="176" t="s">
        <v>3818</v>
      </c>
      <c r="Q320" t="s">
        <v>3817</v>
      </c>
      <c r="R320" t="s">
        <v>3816</v>
      </c>
      <c r="S320" s="178">
        <v>42430</v>
      </c>
      <c r="U320" t="s">
        <v>1775</v>
      </c>
      <c r="V320" s="178" t="s">
        <v>2604</v>
      </c>
      <c r="W320" s="178">
        <v>42516</v>
      </c>
      <c r="X320" s="6">
        <v>345000</v>
      </c>
      <c r="Y320" s="6">
        <f t="shared" si="29"/>
        <v>-94485</v>
      </c>
      <c r="Z320" t="s">
        <v>2905</v>
      </c>
    </row>
    <row r="321" spans="1:26" x14ac:dyDescent="0.25">
      <c r="A321" s="176" t="s">
        <v>3548</v>
      </c>
      <c r="B321" t="s">
        <v>18</v>
      </c>
      <c r="C321" s="61" t="s">
        <v>150</v>
      </c>
      <c r="D321" s="61" t="s">
        <v>163</v>
      </c>
      <c r="E321" s="15" t="s">
        <v>3547</v>
      </c>
      <c r="F321" s="15" t="s">
        <v>3546</v>
      </c>
      <c r="G321" s="61" t="s">
        <v>212</v>
      </c>
      <c r="H321" s="4" t="s">
        <v>213</v>
      </c>
      <c r="I321" s="4" t="s">
        <v>1277</v>
      </c>
      <c r="J321" s="4" t="s">
        <v>872</v>
      </c>
      <c r="K321" s="6">
        <v>48434</v>
      </c>
      <c r="L321" s="6">
        <f>K321*1.25-K321</f>
        <v>12108.5</v>
      </c>
      <c r="M321" s="6">
        <v>0</v>
      </c>
      <c r="N321" s="6">
        <v>60542</v>
      </c>
      <c r="O321" s="184" t="s">
        <v>3545</v>
      </c>
      <c r="P321" s="176" t="s">
        <v>3544</v>
      </c>
      <c r="Q321" s="21" t="s">
        <v>3543</v>
      </c>
      <c r="R321" t="s">
        <v>3542</v>
      </c>
      <c r="S321" s="178">
        <v>42548</v>
      </c>
      <c r="U321" s="186" t="s">
        <v>1775</v>
      </c>
      <c r="V321" s="178" t="s">
        <v>2571</v>
      </c>
      <c r="W321" s="178">
        <v>42548</v>
      </c>
      <c r="X321" s="6">
        <v>48434</v>
      </c>
      <c r="Y321" s="6">
        <f t="shared" si="29"/>
        <v>0</v>
      </c>
    </row>
    <row r="322" spans="1:26" x14ac:dyDescent="0.25">
      <c r="A322" s="176" t="s">
        <v>2970</v>
      </c>
      <c r="B322" t="s">
        <v>90</v>
      </c>
      <c r="C322" t="s">
        <v>150</v>
      </c>
      <c r="D322" s="4" t="s">
        <v>149</v>
      </c>
      <c r="E322" s="4" t="s">
        <v>1026</v>
      </c>
      <c r="F322" s="4" t="s">
        <v>2969</v>
      </c>
      <c r="G322" t="s">
        <v>177</v>
      </c>
      <c r="H322" s="4" t="s">
        <v>178</v>
      </c>
      <c r="I322" s="4" t="s">
        <v>2968</v>
      </c>
      <c r="J322" s="4" t="s">
        <v>2590</v>
      </c>
      <c r="K322" s="6">
        <v>48000</v>
      </c>
      <c r="L322" s="6">
        <f>N322*0.2</f>
        <v>12000</v>
      </c>
      <c r="M322" s="6">
        <f t="shared" ref="M322:M327" si="33">N322-(K322+L322)</f>
        <v>0</v>
      </c>
      <c r="N322" s="6">
        <v>60000</v>
      </c>
      <c r="O322" s="184" t="s">
        <v>2967</v>
      </c>
      <c r="P322" s="176" t="s">
        <v>2966</v>
      </c>
      <c r="Q322" t="s">
        <v>2965</v>
      </c>
      <c r="R322" t="s">
        <v>2964</v>
      </c>
      <c r="S322" s="178">
        <v>42610</v>
      </c>
      <c r="U322" s="61" t="s">
        <v>1775</v>
      </c>
      <c r="V322" s="178" t="s">
        <v>2571</v>
      </c>
      <c r="W322" s="178">
        <v>42610</v>
      </c>
      <c r="X322" s="6">
        <v>48000</v>
      </c>
      <c r="Y322" s="6">
        <f t="shared" si="29"/>
        <v>0</v>
      </c>
    </row>
    <row r="323" spans="1:26" x14ac:dyDescent="0.25">
      <c r="A323" s="176" t="s">
        <v>2970</v>
      </c>
      <c r="B323" t="s">
        <v>90</v>
      </c>
      <c r="C323" t="s">
        <v>150</v>
      </c>
      <c r="D323" s="4" t="s">
        <v>149</v>
      </c>
      <c r="E323" s="4" t="s">
        <v>1026</v>
      </c>
      <c r="F323" s="4" t="s">
        <v>2969</v>
      </c>
      <c r="G323" t="s">
        <v>72</v>
      </c>
      <c r="H323" s="4" t="s">
        <v>179</v>
      </c>
      <c r="I323" s="4" t="s">
        <v>2968</v>
      </c>
      <c r="J323" s="4" t="s">
        <v>2590</v>
      </c>
      <c r="K323" s="6">
        <v>432000</v>
      </c>
      <c r="L323" s="6">
        <f>N323*0.2</f>
        <v>108000</v>
      </c>
      <c r="M323" s="6">
        <f t="shared" si="33"/>
        <v>0</v>
      </c>
      <c r="N323" s="6">
        <v>540000</v>
      </c>
      <c r="O323" s="184" t="s">
        <v>2967</v>
      </c>
      <c r="P323" s="176" t="s">
        <v>2966</v>
      </c>
      <c r="Q323" t="s">
        <v>2965</v>
      </c>
      <c r="R323" t="s">
        <v>2964</v>
      </c>
      <c r="S323" s="178">
        <v>42610</v>
      </c>
      <c r="T323" s="178">
        <v>42678</v>
      </c>
      <c r="U323" s="61" t="s">
        <v>1775</v>
      </c>
      <c r="V323" s="178" t="s">
        <v>2571</v>
      </c>
      <c r="W323" s="178">
        <v>42610</v>
      </c>
      <c r="X323" s="6">
        <v>432000</v>
      </c>
      <c r="Y323" s="6">
        <f t="shared" si="29"/>
        <v>0</v>
      </c>
    </row>
    <row r="324" spans="1:26" x14ac:dyDescent="0.25">
      <c r="A324" s="176" t="s">
        <v>3994</v>
      </c>
      <c r="B324" t="s">
        <v>90</v>
      </c>
      <c r="C324" t="s">
        <v>150</v>
      </c>
      <c r="D324" t="s">
        <v>250</v>
      </c>
      <c r="E324" t="s">
        <v>3993</v>
      </c>
      <c r="F324" s="4" t="s">
        <v>3992</v>
      </c>
      <c r="G324" t="s">
        <v>177</v>
      </c>
      <c r="H324" s="4" t="s">
        <v>178</v>
      </c>
      <c r="I324" t="s">
        <v>1276</v>
      </c>
      <c r="J324" t="s">
        <v>871</v>
      </c>
      <c r="K324" s="6">
        <v>348750</v>
      </c>
      <c r="L324" s="6">
        <f>N324*0.1</f>
        <v>38750</v>
      </c>
      <c r="M324" s="6">
        <f t="shared" si="33"/>
        <v>0</v>
      </c>
      <c r="N324" s="6">
        <v>387500</v>
      </c>
      <c r="O324" s="184" t="s">
        <v>3990</v>
      </c>
      <c r="P324" s="176" t="s">
        <v>3989</v>
      </c>
      <c r="Q324" t="s">
        <v>3995</v>
      </c>
      <c r="R324" t="s">
        <v>3987</v>
      </c>
      <c r="S324" s="178">
        <v>42488</v>
      </c>
      <c r="U324" t="s">
        <v>1775</v>
      </c>
      <c r="V324" s="178" t="s">
        <v>2571</v>
      </c>
      <c r="W324" s="178">
        <v>42488</v>
      </c>
      <c r="X324" s="6">
        <v>348750</v>
      </c>
      <c r="Y324" s="6">
        <f t="shared" si="29"/>
        <v>0</v>
      </c>
    </row>
    <row r="325" spans="1:26" ht="30" x14ac:dyDescent="0.25">
      <c r="A325" s="176" t="s">
        <v>3994</v>
      </c>
      <c r="B325" t="s">
        <v>90</v>
      </c>
      <c r="C325" t="s">
        <v>150</v>
      </c>
      <c r="D325" t="s">
        <v>250</v>
      </c>
      <c r="E325" t="s">
        <v>3993</v>
      </c>
      <c r="F325" s="4" t="s">
        <v>3992</v>
      </c>
      <c r="G325" t="s">
        <v>72</v>
      </c>
      <c r="H325" s="4" t="s">
        <v>3991</v>
      </c>
      <c r="I325" t="s">
        <v>1276</v>
      </c>
      <c r="J325" t="s">
        <v>871</v>
      </c>
      <c r="K325" s="6">
        <v>3138750</v>
      </c>
      <c r="L325" s="6">
        <f>N325*0.1</f>
        <v>348750</v>
      </c>
      <c r="M325" s="6">
        <f t="shared" si="33"/>
        <v>0</v>
      </c>
      <c r="N325" s="6">
        <v>3487500</v>
      </c>
      <c r="O325" s="184" t="s">
        <v>3990</v>
      </c>
      <c r="P325" s="176" t="s">
        <v>3989</v>
      </c>
      <c r="Q325" t="s">
        <v>3988</v>
      </c>
      <c r="R325" t="s">
        <v>3987</v>
      </c>
      <c r="S325" s="178">
        <v>42488</v>
      </c>
      <c r="T325" s="178">
        <v>42531</v>
      </c>
      <c r="U325" t="s">
        <v>1775</v>
      </c>
      <c r="V325" s="178" t="s">
        <v>2571</v>
      </c>
      <c r="W325" s="178">
        <v>42488</v>
      </c>
      <c r="X325" s="6">
        <v>3138750</v>
      </c>
      <c r="Y325" s="6">
        <f t="shared" si="29"/>
        <v>0</v>
      </c>
    </row>
    <row r="326" spans="1:26" ht="45" x14ac:dyDescent="0.25">
      <c r="A326" s="176" t="s">
        <v>4383</v>
      </c>
      <c r="B326" t="s">
        <v>18</v>
      </c>
      <c r="C326" t="s">
        <v>150</v>
      </c>
      <c r="D326" t="s">
        <v>969</v>
      </c>
      <c r="E326" t="s">
        <v>4382</v>
      </c>
      <c r="F326" t="s">
        <v>4381</v>
      </c>
      <c r="G326" t="s">
        <v>72</v>
      </c>
      <c r="H326" s="4" t="s">
        <v>4380</v>
      </c>
      <c r="I326" t="s">
        <v>2599</v>
      </c>
      <c r="J326" t="s">
        <v>893</v>
      </c>
      <c r="K326" s="6">
        <v>11513.2</v>
      </c>
      <c r="L326" s="6">
        <f>N326*0.2</f>
        <v>2878.3</v>
      </c>
      <c r="M326" s="6">
        <f t="shared" si="33"/>
        <v>0</v>
      </c>
      <c r="N326" s="6">
        <v>14391.5</v>
      </c>
      <c r="O326" s="184" t="s">
        <v>4379</v>
      </c>
      <c r="P326" s="176" t="s">
        <v>4378</v>
      </c>
      <c r="Q326" t="s">
        <v>4377</v>
      </c>
      <c r="R326" t="s">
        <v>4376</v>
      </c>
      <c r="S326" s="178">
        <v>42388</v>
      </c>
      <c r="U326" t="s">
        <v>1775</v>
      </c>
      <c r="V326" s="178" t="s">
        <v>2571</v>
      </c>
      <c r="W326" s="178">
        <v>42388</v>
      </c>
      <c r="X326" s="6">
        <v>11513</v>
      </c>
      <c r="Y326" s="6">
        <f t="shared" si="29"/>
        <v>0.2000000000007276</v>
      </c>
    </row>
    <row r="327" spans="1:26" x14ac:dyDescent="0.25">
      <c r="A327" s="176" t="s">
        <v>4107</v>
      </c>
      <c r="B327" t="s">
        <v>18</v>
      </c>
      <c r="C327" t="s">
        <v>150</v>
      </c>
      <c r="D327" t="s">
        <v>242</v>
      </c>
      <c r="E327" t="s">
        <v>4106</v>
      </c>
      <c r="F327" t="s">
        <v>4105</v>
      </c>
      <c r="G327" t="s">
        <v>177</v>
      </c>
      <c r="H327" s="4" t="s">
        <v>178</v>
      </c>
      <c r="I327" t="s">
        <v>2581</v>
      </c>
      <c r="J327" t="s">
        <v>877</v>
      </c>
      <c r="K327" s="6">
        <v>41397</v>
      </c>
      <c r="L327" s="6">
        <f t="shared" ref="L327:L332" si="34">N327*0.25</f>
        <v>14576.5</v>
      </c>
      <c r="M327" s="6">
        <f t="shared" si="33"/>
        <v>2332.5</v>
      </c>
      <c r="N327" s="6">
        <v>58306</v>
      </c>
      <c r="O327" s="184" t="s">
        <v>4104</v>
      </c>
      <c r="P327" s="176" t="s">
        <v>4103</v>
      </c>
      <c r="Q327" t="s">
        <v>4402</v>
      </c>
      <c r="R327" t="s">
        <v>4101</v>
      </c>
      <c r="S327" s="178">
        <v>42383</v>
      </c>
      <c r="U327" t="s">
        <v>1775</v>
      </c>
      <c r="V327" s="178" t="s">
        <v>2604</v>
      </c>
      <c r="W327" s="178">
        <v>42383</v>
      </c>
      <c r="X327" s="6">
        <v>41397</v>
      </c>
      <c r="Y327" s="6">
        <f t="shared" si="29"/>
        <v>0</v>
      </c>
      <c r="Z327" t="s">
        <v>2905</v>
      </c>
    </row>
    <row r="328" spans="1:26" x14ac:dyDescent="0.25">
      <c r="A328" s="176" t="s">
        <v>4107</v>
      </c>
      <c r="B328" t="s">
        <v>18</v>
      </c>
      <c r="C328" t="s">
        <v>150</v>
      </c>
      <c r="D328" t="s">
        <v>242</v>
      </c>
      <c r="E328" t="s">
        <v>4106</v>
      </c>
      <c r="F328" t="s">
        <v>4105</v>
      </c>
      <c r="G328" t="s">
        <v>72</v>
      </c>
      <c r="H328" s="4" t="s">
        <v>2609</v>
      </c>
      <c r="I328" t="s">
        <v>2581</v>
      </c>
      <c r="J328" t="s">
        <v>877</v>
      </c>
      <c r="K328" s="6">
        <v>338138</v>
      </c>
      <c r="L328" s="6">
        <f t="shared" si="34"/>
        <v>112712.5</v>
      </c>
      <c r="M328" s="6">
        <v>0</v>
      </c>
      <c r="N328" s="6">
        <v>450850</v>
      </c>
      <c r="O328" s="184" t="s">
        <v>4104</v>
      </c>
      <c r="P328" s="176" t="s">
        <v>4103</v>
      </c>
      <c r="Q328" t="s">
        <v>4102</v>
      </c>
      <c r="R328" t="s">
        <v>4101</v>
      </c>
      <c r="S328" s="178">
        <v>42383</v>
      </c>
      <c r="T328" s="178">
        <v>42433</v>
      </c>
      <c r="U328" t="s">
        <v>1775</v>
      </c>
      <c r="V328" s="178" t="s">
        <v>2604</v>
      </c>
      <c r="W328" s="178">
        <v>42474</v>
      </c>
      <c r="X328" s="6">
        <v>413970</v>
      </c>
      <c r="Y328" s="6">
        <f t="shared" si="29"/>
        <v>-75832</v>
      </c>
      <c r="Z328" t="s">
        <v>2905</v>
      </c>
    </row>
    <row r="329" spans="1:26" s="61" customFormat="1" x14ac:dyDescent="0.25">
      <c r="A329" s="176" t="s">
        <v>4074</v>
      </c>
      <c r="B329" t="s">
        <v>18</v>
      </c>
      <c r="C329" t="s">
        <v>150</v>
      </c>
      <c r="D329" t="s">
        <v>492</v>
      </c>
      <c r="E329" t="s">
        <v>4073</v>
      </c>
      <c r="F329" t="s">
        <v>4072</v>
      </c>
      <c r="G329" t="s">
        <v>72</v>
      </c>
      <c r="H329" s="4" t="s">
        <v>2609</v>
      </c>
      <c r="I329" t="s">
        <v>2581</v>
      </c>
      <c r="J329" t="s">
        <v>877</v>
      </c>
      <c r="K329" s="6">
        <v>276936</v>
      </c>
      <c r="L329" s="6">
        <f t="shared" si="34"/>
        <v>92312.25</v>
      </c>
      <c r="M329" s="6">
        <v>0</v>
      </c>
      <c r="N329" s="6">
        <v>369249</v>
      </c>
      <c r="O329" s="184" t="s">
        <v>4071</v>
      </c>
      <c r="P329" s="176" t="s">
        <v>4070</v>
      </c>
      <c r="Q329" t="s">
        <v>4075</v>
      </c>
      <c r="R329" t="s">
        <v>4068</v>
      </c>
      <c r="S329" s="178">
        <v>42383</v>
      </c>
      <c r="T329" s="178">
        <v>42433</v>
      </c>
      <c r="U329" t="s">
        <v>1775</v>
      </c>
      <c r="V329" s="178" t="s">
        <v>2604</v>
      </c>
      <c r="W329" s="178">
        <v>42475</v>
      </c>
      <c r="X329" s="6">
        <v>300000</v>
      </c>
      <c r="Y329" s="6">
        <f t="shared" si="29"/>
        <v>-23064</v>
      </c>
      <c r="Z329" t="s">
        <v>2905</v>
      </c>
    </row>
    <row r="330" spans="1:26" x14ac:dyDescent="0.25">
      <c r="A330" s="176" t="s">
        <v>4074</v>
      </c>
      <c r="B330" t="s">
        <v>18</v>
      </c>
      <c r="C330" t="s">
        <v>150</v>
      </c>
      <c r="D330" t="s">
        <v>492</v>
      </c>
      <c r="E330" t="s">
        <v>4073</v>
      </c>
      <c r="F330" t="s">
        <v>4072</v>
      </c>
      <c r="G330" t="s">
        <v>177</v>
      </c>
      <c r="H330" s="4" t="s">
        <v>178</v>
      </c>
      <c r="I330" t="s">
        <v>2581</v>
      </c>
      <c r="J330" t="s">
        <v>877</v>
      </c>
      <c r="K330" s="6">
        <v>24000</v>
      </c>
      <c r="L330" s="6">
        <f t="shared" si="34"/>
        <v>8000</v>
      </c>
      <c r="M330" s="6">
        <f>N330-(K330+L330)</f>
        <v>0</v>
      </c>
      <c r="N330" s="6">
        <v>32000</v>
      </c>
      <c r="O330" s="184" t="s">
        <v>4071</v>
      </c>
      <c r="P330" s="176" t="s">
        <v>4070</v>
      </c>
      <c r="Q330" t="s">
        <v>4069</v>
      </c>
      <c r="R330" t="s">
        <v>4068</v>
      </c>
      <c r="S330" s="178">
        <v>42383</v>
      </c>
      <c r="U330" t="s">
        <v>1775</v>
      </c>
      <c r="V330" s="178" t="s">
        <v>2604</v>
      </c>
      <c r="W330" s="178">
        <v>42475</v>
      </c>
      <c r="X330" s="6">
        <v>24000</v>
      </c>
      <c r="Y330" s="6">
        <f t="shared" si="29"/>
        <v>0</v>
      </c>
      <c r="Z330" t="s">
        <v>2905</v>
      </c>
    </row>
    <row r="331" spans="1:26" x14ac:dyDescent="0.25">
      <c r="A331" s="176" t="s">
        <v>4067</v>
      </c>
      <c r="B331" t="s">
        <v>18</v>
      </c>
      <c r="C331" t="s">
        <v>150</v>
      </c>
      <c r="D331" t="s">
        <v>4066</v>
      </c>
      <c r="E331" t="s">
        <v>4065</v>
      </c>
      <c r="F331" t="s">
        <v>4064</v>
      </c>
      <c r="G331" t="s">
        <v>177</v>
      </c>
      <c r="H331" s="4" t="s">
        <v>178</v>
      </c>
      <c r="I331" t="s">
        <v>2581</v>
      </c>
      <c r="J331" t="s">
        <v>877</v>
      </c>
      <c r="K331" s="6">
        <v>50000</v>
      </c>
      <c r="L331" s="6">
        <f t="shared" si="34"/>
        <v>19998.5</v>
      </c>
      <c r="M331" s="6">
        <f>N331-(K331+L331)</f>
        <v>9995.5</v>
      </c>
      <c r="N331" s="6">
        <v>79994</v>
      </c>
      <c r="O331" s="184" t="s">
        <v>4063</v>
      </c>
      <c r="P331" s="176" t="s">
        <v>4062</v>
      </c>
      <c r="Q331" t="s">
        <v>4401</v>
      </c>
      <c r="R331" t="s">
        <v>4060</v>
      </c>
      <c r="S331" s="178">
        <v>42383</v>
      </c>
      <c r="U331" t="s">
        <v>1775</v>
      </c>
      <c r="V331" s="178" t="s">
        <v>2604</v>
      </c>
      <c r="W331" s="178">
        <v>42383</v>
      </c>
      <c r="X331" s="6">
        <v>50000</v>
      </c>
      <c r="Y331" s="6">
        <f t="shared" si="29"/>
        <v>0</v>
      </c>
      <c r="Z331" t="s">
        <v>2905</v>
      </c>
    </row>
    <row r="332" spans="1:26" x14ac:dyDescent="0.25">
      <c r="A332" s="176" t="s">
        <v>4067</v>
      </c>
      <c r="B332" t="s">
        <v>18</v>
      </c>
      <c r="C332" t="s">
        <v>150</v>
      </c>
      <c r="D332" t="s">
        <v>4066</v>
      </c>
      <c r="E332" t="s">
        <v>4065</v>
      </c>
      <c r="F332" t="s">
        <v>4064</v>
      </c>
      <c r="G332" t="s">
        <v>72</v>
      </c>
      <c r="H332" s="4" t="s">
        <v>2609</v>
      </c>
      <c r="I332" t="s">
        <v>2581</v>
      </c>
      <c r="J332" t="s">
        <v>877</v>
      </c>
      <c r="K332" s="6">
        <v>363003</v>
      </c>
      <c r="L332" s="6">
        <f t="shared" si="34"/>
        <v>121000.75</v>
      </c>
      <c r="M332" s="6">
        <v>0</v>
      </c>
      <c r="N332" s="6">
        <v>484003</v>
      </c>
      <c r="O332" s="184" t="s">
        <v>4063</v>
      </c>
      <c r="P332" s="176" t="s">
        <v>4062</v>
      </c>
      <c r="Q332" t="s">
        <v>4061</v>
      </c>
      <c r="R332" t="s">
        <v>4060</v>
      </c>
      <c r="S332" s="178">
        <v>42383</v>
      </c>
      <c r="T332" s="178">
        <v>42433</v>
      </c>
      <c r="U332" t="s">
        <v>1775</v>
      </c>
      <c r="V332" s="178" t="s">
        <v>2604</v>
      </c>
      <c r="W332" s="178">
        <v>42475</v>
      </c>
      <c r="X332" s="6">
        <v>450000</v>
      </c>
      <c r="Y332" s="6">
        <f t="shared" si="29"/>
        <v>-86997</v>
      </c>
      <c r="Z332" t="s">
        <v>2905</v>
      </c>
    </row>
    <row r="333" spans="1:26" x14ac:dyDescent="0.25">
      <c r="A333" s="176" t="s">
        <v>4362</v>
      </c>
      <c r="B333" t="s">
        <v>18</v>
      </c>
      <c r="C333" t="s">
        <v>150</v>
      </c>
      <c r="D333" t="s">
        <v>455</v>
      </c>
      <c r="E333" t="s">
        <v>4361</v>
      </c>
      <c r="F333" t="s">
        <v>4360</v>
      </c>
      <c r="G333" t="s">
        <v>117</v>
      </c>
      <c r="H333" s="4" t="s">
        <v>119</v>
      </c>
      <c r="I333" t="s">
        <v>1277</v>
      </c>
      <c r="J333" t="s">
        <v>882</v>
      </c>
      <c r="K333" s="6">
        <v>107867</v>
      </c>
      <c r="L333" s="6">
        <f>N333*0.2</f>
        <v>26966.800000000003</v>
      </c>
      <c r="M333" s="6">
        <f>N333-(K333+L333)</f>
        <v>0.20000000001164153</v>
      </c>
      <c r="N333" s="6">
        <v>134834</v>
      </c>
      <c r="O333" s="184" t="s">
        <v>4359</v>
      </c>
      <c r="P333" s="176" t="s">
        <v>4358</v>
      </c>
      <c r="Q333" t="s">
        <v>4357</v>
      </c>
      <c r="R333" t="s">
        <v>4356</v>
      </c>
      <c r="S333" s="178">
        <v>42390</v>
      </c>
      <c r="U333" t="s">
        <v>1775</v>
      </c>
      <c r="V333" s="178" t="s">
        <v>2571</v>
      </c>
      <c r="W333" s="178">
        <v>42395</v>
      </c>
      <c r="X333" s="6">
        <v>107867</v>
      </c>
      <c r="Y333" s="6">
        <f t="shared" si="29"/>
        <v>0</v>
      </c>
    </row>
    <row r="334" spans="1:26" x14ac:dyDescent="0.25">
      <c r="A334" s="176" t="s">
        <v>2803</v>
      </c>
      <c r="B334" t="s">
        <v>18</v>
      </c>
      <c r="C334" t="s">
        <v>150</v>
      </c>
      <c r="D334" s="4" t="s">
        <v>970</v>
      </c>
      <c r="E334" s="4" t="s">
        <v>2802</v>
      </c>
      <c r="F334" s="4" t="s">
        <v>2801</v>
      </c>
      <c r="G334" s="4" t="s">
        <v>72</v>
      </c>
      <c r="H334" s="4" t="s">
        <v>74</v>
      </c>
      <c r="I334" s="4" t="s">
        <v>2581</v>
      </c>
      <c r="J334" s="4" t="s">
        <v>877</v>
      </c>
      <c r="K334" s="6">
        <v>502400</v>
      </c>
      <c r="L334" s="6">
        <f>N334*0.2</f>
        <v>125600</v>
      </c>
      <c r="M334" s="6">
        <f>N334-(K334+L334)</f>
        <v>0</v>
      </c>
      <c r="N334" s="6">
        <v>628000</v>
      </c>
      <c r="O334" s="184" t="s">
        <v>2800</v>
      </c>
      <c r="P334" s="176" t="s">
        <v>2799</v>
      </c>
      <c r="Q334" t="s">
        <v>2798</v>
      </c>
      <c r="R334" t="s">
        <v>2797</v>
      </c>
      <c r="S334" s="178">
        <v>42626</v>
      </c>
      <c r="T334" s="178">
        <v>42678</v>
      </c>
      <c r="U334" t="s">
        <v>1775</v>
      </c>
      <c r="V334" t="s">
        <v>2571</v>
      </c>
      <c r="W334" s="178">
        <v>42626</v>
      </c>
      <c r="X334" s="6">
        <v>502400</v>
      </c>
      <c r="Y334" s="6">
        <f t="shared" ref="Y334:Y397" si="35">K334-X334</f>
        <v>0</v>
      </c>
    </row>
    <row r="335" spans="1:26" x14ac:dyDescent="0.25">
      <c r="A335" s="176" t="s">
        <v>2912</v>
      </c>
      <c r="B335" t="s">
        <v>18</v>
      </c>
      <c r="C335" t="s">
        <v>150</v>
      </c>
      <c r="D335" t="s">
        <v>482</v>
      </c>
      <c r="E335" t="s">
        <v>2911</v>
      </c>
      <c r="F335" t="s">
        <v>2910</v>
      </c>
      <c r="G335" t="s">
        <v>72</v>
      </c>
      <c r="H335" s="4" t="s">
        <v>2609</v>
      </c>
      <c r="I335" t="s">
        <v>2581</v>
      </c>
      <c r="J335" t="s">
        <v>2904</v>
      </c>
      <c r="K335" s="6">
        <v>118298</v>
      </c>
      <c r="L335" s="6">
        <f>N335*0.25</f>
        <v>39432.5</v>
      </c>
      <c r="M335" s="6">
        <v>0</v>
      </c>
      <c r="N335" s="6">
        <v>157730</v>
      </c>
      <c r="O335" s="184" t="s">
        <v>2909</v>
      </c>
      <c r="P335" s="176" t="s">
        <v>2908</v>
      </c>
      <c r="Q335" t="s">
        <v>2913</v>
      </c>
      <c r="R335" t="s">
        <v>2906</v>
      </c>
      <c r="S335" s="178">
        <v>42388</v>
      </c>
      <c r="U335" t="s">
        <v>2301</v>
      </c>
      <c r="V335" s="178" t="s">
        <v>2604</v>
      </c>
      <c r="W335" s="178">
        <v>42620</v>
      </c>
      <c r="X335" s="6">
        <v>162750</v>
      </c>
      <c r="Y335" s="6">
        <f t="shared" si="35"/>
        <v>-44452</v>
      </c>
      <c r="Z335" t="s">
        <v>2905</v>
      </c>
    </row>
    <row r="336" spans="1:26" s="61" customFormat="1" x14ac:dyDescent="0.25">
      <c r="A336" s="176" t="s">
        <v>2912</v>
      </c>
      <c r="B336" t="s">
        <v>18</v>
      </c>
      <c r="C336" t="s">
        <v>150</v>
      </c>
      <c r="D336" t="s">
        <v>482</v>
      </c>
      <c r="E336" t="s">
        <v>2911</v>
      </c>
      <c r="F336" t="s">
        <v>2910</v>
      </c>
      <c r="G336" t="s">
        <v>177</v>
      </c>
      <c r="H336" s="4" t="s">
        <v>178</v>
      </c>
      <c r="I336" t="s">
        <v>2581</v>
      </c>
      <c r="J336" t="s">
        <v>2904</v>
      </c>
      <c r="K336" s="6">
        <v>24375</v>
      </c>
      <c r="L336" s="6">
        <f>N336*0.25</f>
        <v>8125</v>
      </c>
      <c r="M336" s="6">
        <f>N336-(K336+L336)</f>
        <v>0</v>
      </c>
      <c r="N336" s="6">
        <v>32500</v>
      </c>
      <c r="O336" s="184" t="s">
        <v>2909</v>
      </c>
      <c r="P336" s="176" t="s">
        <v>2908</v>
      </c>
      <c r="Q336" t="s">
        <v>2907</v>
      </c>
      <c r="R336" t="s">
        <v>2906</v>
      </c>
      <c r="S336" s="178">
        <v>42388</v>
      </c>
      <c r="T336"/>
      <c r="U336" t="s">
        <v>2301</v>
      </c>
      <c r="V336" s="178" t="s">
        <v>2604</v>
      </c>
      <c r="W336" s="178">
        <v>42620</v>
      </c>
      <c r="X336" s="6">
        <v>24375</v>
      </c>
      <c r="Y336" s="6">
        <f t="shared" si="35"/>
        <v>0</v>
      </c>
      <c r="Z336" t="s">
        <v>2905</v>
      </c>
    </row>
    <row r="337" spans="1:26" s="61" customFormat="1" x14ac:dyDescent="0.25">
      <c r="A337" s="188" t="s">
        <v>3796</v>
      </c>
      <c r="B337" t="s">
        <v>18</v>
      </c>
      <c r="C337" s="61" t="s">
        <v>150</v>
      </c>
      <c r="D337" s="61" t="s">
        <v>163</v>
      </c>
      <c r="E337" s="61" t="s">
        <v>3795</v>
      </c>
      <c r="F337" s="15" t="s">
        <v>3794</v>
      </c>
      <c r="G337" s="61" t="s">
        <v>212</v>
      </c>
      <c r="H337" s="4" t="s">
        <v>213</v>
      </c>
      <c r="I337" s="4" t="s">
        <v>2715</v>
      </c>
      <c r="J337" s="4" t="s">
        <v>913</v>
      </c>
      <c r="K337" s="6">
        <v>108938</v>
      </c>
      <c r="L337" s="6">
        <f>K337*1.25-K337</f>
        <v>27234.5</v>
      </c>
      <c r="M337" s="6">
        <v>0</v>
      </c>
      <c r="N337" s="6">
        <v>136173</v>
      </c>
      <c r="O337" s="184" t="s">
        <v>3793</v>
      </c>
      <c r="P337" s="176" t="s">
        <v>3792</v>
      </c>
      <c r="Q337" s="21" t="s">
        <v>3791</v>
      </c>
      <c r="R337" t="s">
        <v>3790</v>
      </c>
      <c r="S337" s="178">
        <v>42521</v>
      </c>
      <c r="T337"/>
      <c r="U337" t="s">
        <v>1775</v>
      </c>
      <c r="V337" s="178" t="s">
        <v>2571</v>
      </c>
      <c r="W337" s="178">
        <v>42521</v>
      </c>
      <c r="X337" s="6">
        <v>108938</v>
      </c>
      <c r="Y337" s="6">
        <f t="shared" si="35"/>
        <v>0</v>
      </c>
    </row>
    <row r="338" spans="1:26" ht="30" x14ac:dyDescent="0.25">
      <c r="A338" s="176" t="s">
        <v>3888</v>
      </c>
      <c r="B338" t="s">
        <v>18</v>
      </c>
      <c r="C338" t="s">
        <v>150</v>
      </c>
      <c r="D338" t="s">
        <v>928</v>
      </c>
      <c r="E338" s="4" t="s">
        <v>3887</v>
      </c>
      <c r="F338" s="4" t="s">
        <v>3886</v>
      </c>
      <c r="G338" t="s">
        <v>177</v>
      </c>
      <c r="H338" s="4" t="s">
        <v>178</v>
      </c>
      <c r="I338" t="s">
        <v>2581</v>
      </c>
      <c r="J338" t="s">
        <v>877</v>
      </c>
      <c r="K338" s="6">
        <v>29400</v>
      </c>
      <c r="L338" s="6">
        <f>N338*0.2</f>
        <v>7840</v>
      </c>
      <c r="M338" s="6">
        <f t="shared" ref="M338:M369" si="36">N338-(K338+L338)</f>
        <v>1960</v>
      </c>
      <c r="N338" s="6">
        <v>39200</v>
      </c>
      <c r="O338" s="184" t="s">
        <v>3885</v>
      </c>
      <c r="P338" s="176" t="s">
        <v>3884</v>
      </c>
      <c r="Q338" t="s">
        <v>3883</v>
      </c>
      <c r="R338" t="s">
        <v>3882</v>
      </c>
      <c r="S338" s="178">
        <v>42430</v>
      </c>
      <c r="U338" t="s">
        <v>1775</v>
      </c>
      <c r="V338" s="178" t="s">
        <v>2604</v>
      </c>
      <c r="W338" s="178">
        <v>42514</v>
      </c>
      <c r="X338" s="6">
        <v>29400</v>
      </c>
      <c r="Y338" s="6">
        <f t="shared" si="35"/>
        <v>0</v>
      </c>
    </row>
    <row r="339" spans="1:26" ht="30" x14ac:dyDescent="0.25">
      <c r="A339" s="176" t="s">
        <v>3888</v>
      </c>
      <c r="B339" t="s">
        <v>18</v>
      </c>
      <c r="C339" t="s">
        <v>150</v>
      </c>
      <c r="D339" t="s">
        <v>928</v>
      </c>
      <c r="E339" s="4" t="s">
        <v>3887</v>
      </c>
      <c r="F339" s="4" t="s">
        <v>3886</v>
      </c>
      <c r="G339" t="s">
        <v>72</v>
      </c>
      <c r="H339" s="4" t="s">
        <v>2609</v>
      </c>
      <c r="I339" t="s">
        <v>2581</v>
      </c>
      <c r="J339" t="s">
        <v>877</v>
      </c>
      <c r="K339" s="6">
        <v>192943</v>
      </c>
      <c r="L339" s="6">
        <f>N339*0.2</f>
        <v>65200</v>
      </c>
      <c r="M339" s="6">
        <f t="shared" si="36"/>
        <v>67857</v>
      </c>
      <c r="N339" s="6">
        <v>326000</v>
      </c>
      <c r="O339" s="184" t="s">
        <v>3885</v>
      </c>
      <c r="P339" s="176" t="s">
        <v>3884</v>
      </c>
      <c r="Q339" t="s">
        <v>3883</v>
      </c>
      <c r="R339" t="s">
        <v>3882</v>
      </c>
      <c r="S339" s="178">
        <v>42430</v>
      </c>
      <c r="T339" s="178">
        <v>42482</v>
      </c>
      <c r="U339" t="s">
        <v>1775</v>
      </c>
      <c r="V339" s="178" t="s">
        <v>2604</v>
      </c>
      <c r="W339" s="178">
        <v>42514</v>
      </c>
      <c r="X339" s="6">
        <v>244500</v>
      </c>
      <c r="Y339" s="6">
        <f t="shared" si="35"/>
        <v>-51557</v>
      </c>
    </row>
    <row r="340" spans="1:26" ht="90" x14ac:dyDescent="0.25">
      <c r="A340" s="176" t="s">
        <v>3354</v>
      </c>
      <c r="B340" t="s">
        <v>18</v>
      </c>
      <c r="C340" t="s">
        <v>150</v>
      </c>
      <c r="D340" t="s">
        <v>163</v>
      </c>
      <c r="E340" t="s">
        <v>41</v>
      </c>
      <c r="F340" t="s">
        <v>3353</v>
      </c>
      <c r="G340" t="s">
        <v>72</v>
      </c>
      <c r="H340" s="4" t="s">
        <v>3352</v>
      </c>
      <c r="I340" t="s">
        <v>3316</v>
      </c>
      <c r="J340" t="s">
        <v>3315</v>
      </c>
      <c r="K340" s="6">
        <v>33326</v>
      </c>
      <c r="L340" s="6">
        <f>N340*0.2</f>
        <v>8331.4</v>
      </c>
      <c r="M340" s="6">
        <f t="shared" si="36"/>
        <v>-0.40000000000145519</v>
      </c>
      <c r="N340" s="6">
        <v>41657</v>
      </c>
      <c r="O340" s="184" t="s">
        <v>3351</v>
      </c>
      <c r="P340" s="176" t="s">
        <v>3350</v>
      </c>
      <c r="Q340" t="s">
        <v>3349</v>
      </c>
      <c r="R340" s="4" t="s">
        <v>3348</v>
      </c>
      <c r="S340" s="178">
        <v>42436</v>
      </c>
      <c r="U340" t="s">
        <v>2301</v>
      </c>
      <c r="V340" s="178" t="s">
        <v>2604</v>
      </c>
      <c r="W340" s="178">
        <v>42571</v>
      </c>
      <c r="X340" s="6">
        <v>33326</v>
      </c>
      <c r="Y340" s="6">
        <f t="shared" si="35"/>
        <v>0</v>
      </c>
      <c r="Z340" s="4" t="s">
        <v>3325</v>
      </c>
    </row>
    <row r="341" spans="1:26" ht="30" x14ac:dyDescent="0.25">
      <c r="A341" s="176" t="s">
        <v>3347</v>
      </c>
      <c r="B341" t="s">
        <v>18</v>
      </c>
      <c r="C341" t="s">
        <v>150</v>
      </c>
      <c r="D341" t="s">
        <v>163</v>
      </c>
      <c r="E341" t="s">
        <v>3346</v>
      </c>
      <c r="F341" t="s">
        <v>3345</v>
      </c>
      <c r="G341" t="s">
        <v>72</v>
      </c>
      <c r="H341" s="4" t="s">
        <v>3344</v>
      </c>
      <c r="I341" t="s">
        <v>3316</v>
      </c>
      <c r="J341" t="s">
        <v>3315</v>
      </c>
      <c r="K341" s="6">
        <v>185440</v>
      </c>
      <c r="L341" s="6">
        <f>N341*0.2</f>
        <v>46360</v>
      </c>
      <c r="M341" s="6">
        <f t="shared" si="36"/>
        <v>0</v>
      </c>
      <c r="N341" s="6">
        <v>231800</v>
      </c>
      <c r="O341" s="184" t="s">
        <v>3343</v>
      </c>
      <c r="P341" s="176" t="s">
        <v>3342</v>
      </c>
      <c r="Q341" t="s">
        <v>3341</v>
      </c>
      <c r="R341" s="4" t="s">
        <v>3340</v>
      </c>
      <c r="S341" s="178">
        <v>42436</v>
      </c>
      <c r="U341" t="s">
        <v>2301</v>
      </c>
      <c r="V341" s="178" t="s">
        <v>2604</v>
      </c>
      <c r="W341" s="178">
        <v>42571</v>
      </c>
      <c r="X341" s="6">
        <v>185440</v>
      </c>
      <c r="Y341" s="6">
        <f t="shared" si="35"/>
        <v>0</v>
      </c>
    </row>
    <row r="342" spans="1:26" x14ac:dyDescent="0.25">
      <c r="A342" s="176" t="s">
        <v>861</v>
      </c>
      <c r="B342" t="s">
        <v>90</v>
      </c>
      <c r="C342" t="s">
        <v>150</v>
      </c>
      <c r="D342" t="s">
        <v>482</v>
      </c>
      <c r="E342" s="15" t="s">
        <v>1061</v>
      </c>
      <c r="F342" s="15" t="s">
        <v>3541</v>
      </c>
      <c r="G342" t="s">
        <v>177</v>
      </c>
      <c r="H342" s="4" t="s">
        <v>178</v>
      </c>
      <c r="I342" s="4" t="s">
        <v>3540</v>
      </c>
      <c r="J342" s="4" t="s">
        <v>909</v>
      </c>
      <c r="K342" s="6">
        <v>1599783</v>
      </c>
      <c r="L342" s="6">
        <f>K342*1.25-K342</f>
        <v>399945.75</v>
      </c>
      <c r="M342" s="6">
        <f t="shared" si="36"/>
        <v>0.25</v>
      </c>
      <c r="N342" s="6">
        <v>1999729</v>
      </c>
      <c r="O342" s="184" t="s">
        <v>3539</v>
      </c>
      <c r="P342" s="176" t="s">
        <v>3538</v>
      </c>
      <c r="Q342" s="21" t="s">
        <v>3537</v>
      </c>
      <c r="R342" t="s">
        <v>3536</v>
      </c>
      <c r="S342" s="178">
        <v>42548</v>
      </c>
      <c r="U342" t="s">
        <v>1775</v>
      </c>
      <c r="V342" s="178" t="s">
        <v>2571</v>
      </c>
      <c r="W342" s="178">
        <v>42548</v>
      </c>
      <c r="X342" s="6">
        <v>1599783</v>
      </c>
      <c r="Y342" s="6">
        <f t="shared" si="35"/>
        <v>0</v>
      </c>
      <c r="Z342" t="s">
        <v>3535</v>
      </c>
    </row>
    <row r="343" spans="1:26" x14ac:dyDescent="0.25">
      <c r="A343" s="176" t="s">
        <v>4283</v>
      </c>
      <c r="B343" t="s">
        <v>18</v>
      </c>
      <c r="C343" t="s">
        <v>20</v>
      </c>
      <c r="D343" t="s">
        <v>2689</v>
      </c>
      <c r="E343" t="s">
        <v>2688</v>
      </c>
      <c r="F343" t="s">
        <v>4282</v>
      </c>
      <c r="G343" t="s">
        <v>117</v>
      </c>
      <c r="H343" s="4" t="s">
        <v>119</v>
      </c>
      <c r="I343" t="s">
        <v>4281</v>
      </c>
      <c r="J343" t="s">
        <v>2590</v>
      </c>
      <c r="K343" s="6">
        <v>1556287</v>
      </c>
      <c r="L343" s="6">
        <f t="shared" ref="L343:L349" si="37">N343*0.2</f>
        <v>389071.80000000005</v>
      </c>
      <c r="M343" s="6">
        <f t="shared" si="36"/>
        <v>0.19999999995343387</v>
      </c>
      <c r="N343" s="6">
        <v>1945359</v>
      </c>
      <c r="O343" s="184" t="s">
        <v>4280</v>
      </c>
      <c r="P343" s="176" t="s">
        <v>4279</v>
      </c>
      <c r="Q343" t="s">
        <v>4278</v>
      </c>
      <c r="R343" t="s">
        <v>4277</v>
      </c>
      <c r="S343" s="178">
        <v>42429</v>
      </c>
      <c r="U343" t="s">
        <v>1775</v>
      </c>
      <c r="V343" s="178" t="s">
        <v>2571</v>
      </c>
      <c r="W343" s="178">
        <v>42429</v>
      </c>
      <c r="X343" s="6">
        <v>1556287</v>
      </c>
      <c r="Y343" s="6">
        <f t="shared" si="35"/>
        <v>0</v>
      </c>
    </row>
    <row r="344" spans="1:26" x14ac:dyDescent="0.25">
      <c r="A344" s="176" t="s">
        <v>2871</v>
      </c>
      <c r="B344" t="s">
        <v>90</v>
      </c>
      <c r="C344" t="s">
        <v>20</v>
      </c>
      <c r="D344" s="4" t="s">
        <v>294</v>
      </c>
      <c r="E344" s="4" t="s">
        <v>1023</v>
      </c>
      <c r="F344" s="4" t="s">
        <v>2870</v>
      </c>
      <c r="G344" s="4" t="s">
        <v>177</v>
      </c>
      <c r="H344" s="4" t="s">
        <v>178</v>
      </c>
      <c r="I344" s="4" t="s">
        <v>1275</v>
      </c>
      <c r="J344" s="4" t="s">
        <v>873</v>
      </c>
      <c r="K344" s="6">
        <v>280000</v>
      </c>
      <c r="L344" s="6">
        <f t="shared" si="37"/>
        <v>70000</v>
      </c>
      <c r="M344" s="6">
        <f t="shared" si="36"/>
        <v>0</v>
      </c>
      <c r="N344" s="6">
        <v>350000</v>
      </c>
      <c r="O344" s="184" t="s">
        <v>2869</v>
      </c>
      <c r="P344" s="176" t="s">
        <v>2868</v>
      </c>
      <c r="Q344" t="s">
        <v>2872</v>
      </c>
      <c r="R344" t="s">
        <v>2866</v>
      </c>
      <c r="S344" s="178">
        <v>42620</v>
      </c>
      <c r="U344" t="s">
        <v>1775</v>
      </c>
      <c r="V344" t="s">
        <v>2571</v>
      </c>
      <c r="W344" s="178">
        <v>42620</v>
      </c>
      <c r="X344" s="6">
        <v>280000</v>
      </c>
      <c r="Y344" s="6">
        <f t="shared" si="35"/>
        <v>0</v>
      </c>
    </row>
    <row r="345" spans="1:26" x14ac:dyDescent="0.25">
      <c r="A345" s="176" t="s">
        <v>2871</v>
      </c>
      <c r="B345" t="s">
        <v>90</v>
      </c>
      <c r="C345" t="s">
        <v>20</v>
      </c>
      <c r="D345" s="4" t="s">
        <v>294</v>
      </c>
      <c r="E345" s="4" t="s">
        <v>1023</v>
      </c>
      <c r="F345" s="4" t="s">
        <v>2870</v>
      </c>
      <c r="G345" s="4" t="s">
        <v>72</v>
      </c>
      <c r="H345" s="4" t="s">
        <v>2609</v>
      </c>
      <c r="I345" s="4" t="s">
        <v>1275</v>
      </c>
      <c r="J345" s="4" t="s">
        <v>873</v>
      </c>
      <c r="K345" s="6">
        <f>2792000-K344</f>
        <v>2512000</v>
      </c>
      <c r="L345" s="6">
        <f t="shared" si="37"/>
        <v>630000</v>
      </c>
      <c r="M345" s="6">
        <f t="shared" si="36"/>
        <v>8000</v>
      </c>
      <c r="N345" s="6">
        <v>3150000</v>
      </c>
      <c r="O345" s="184" t="s">
        <v>2869</v>
      </c>
      <c r="P345" s="176" t="s">
        <v>2868</v>
      </c>
      <c r="Q345" t="s">
        <v>2867</v>
      </c>
      <c r="R345" t="s">
        <v>2866</v>
      </c>
      <c r="S345" s="178">
        <v>42620</v>
      </c>
      <c r="T345" s="178">
        <v>42678</v>
      </c>
      <c r="U345" t="s">
        <v>1775</v>
      </c>
      <c r="V345" t="s">
        <v>2571</v>
      </c>
      <c r="W345" s="178">
        <v>42620</v>
      </c>
      <c r="X345" s="6">
        <v>2512000</v>
      </c>
      <c r="Y345" s="6">
        <f t="shared" si="35"/>
        <v>0</v>
      </c>
    </row>
    <row r="346" spans="1:26" ht="30" x14ac:dyDescent="0.25">
      <c r="A346" s="176" t="s">
        <v>2880</v>
      </c>
      <c r="B346" t="s">
        <v>18</v>
      </c>
      <c r="C346" t="s">
        <v>20</v>
      </c>
      <c r="D346" s="4" t="s">
        <v>2879</v>
      </c>
      <c r="E346" s="4" t="s">
        <v>2878</v>
      </c>
      <c r="F346" s="4" t="s">
        <v>2877</v>
      </c>
      <c r="G346" t="s">
        <v>177</v>
      </c>
      <c r="H346" s="4" t="s">
        <v>178</v>
      </c>
      <c r="I346" s="4" t="s">
        <v>2781</v>
      </c>
      <c r="J346" s="4" t="s">
        <v>2652</v>
      </c>
      <c r="K346" s="6">
        <v>28578</v>
      </c>
      <c r="L346" s="6">
        <f t="shared" si="37"/>
        <v>7144.4000000000005</v>
      </c>
      <c r="M346" s="6">
        <f t="shared" si="36"/>
        <v>-0.40000000000145519</v>
      </c>
      <c r="N346" s="6">
        <v>35722</v>
      </c>
      <c r="O346" s="184" t="s">
        <v>2876</v>
      </c>
      <c r="P346" s="176" t="s">
        <v>2875</v>
      </c>
      <c r="Q346" t="s">
        <v>2881</v>
      </c>
      <c r="R346" t="s">
        <v>2873</v>
      </c>
      <c r="S346" s="178">
        <v>42620</v>
      </c>
      <c r="U346" t="s">
        <v>1775</v>
      </c>
      <c r="V346" t="s">
        <v>2571</v>
      </c>
      <c r="W346" s="178">
        <v>42620</v>
      </c>
      <c r="X346" s="6">
        <v>28578</v>
      </c>
      <c r="Y346" s="6">
        <f t="shared" si="35"/>
        <v>0</v>
      </c>
    </row>
    <row r="347" spans="1:26" s="61" customFormat="1" ht="30" x14ac:dyDescent="0.25">
      <c r="A347" s="176" t="s">
        <v>2880</v>
      </c>
      <c r="B347" t="s">
        <v>18</v>
      </c>
      <c r="C347" t="s">
        <v>20</v>
      </c>
      <c r="D347" s="4" t="s">
        <v>2879</v>
      </c>
      <c r="E347" s="4" t="s">
        <v>2878</v>
      </c>
      <c r="F347" s="4" t="s">
        <v>2877</v>
      </c>
      <c r="G347" t="s">
        <v>72</v>
      </c>
      <c r="H347" s="4" t="s">
        <v>681</v>
      </c>
      <c r="I347" s="4" t="s">
        <v>2781</v>
      </c>
      <c r="J347" s="4" t="s">
        <v>2652</v>
      </c>
      <c r="K347" s="6">
        <v>238350</v>
      </c>
      <c r="L347" s="6">
        <f t="shared" si="37"/>
        <v>59588</v>
      </c>
      <c r="M347" s="6">
        <f t="shared" si="36"/>
        <v>2</v>
      </c>
      <c r="N347" s="6">
        <v>297940</v>
      </c>
      <c r="O347" s="184" t="s">
        <v>2876</v>
      </c>
      <c r="P347" s="176" t="s">
        <v>2875</v>
      </c>
      <c r="Q347" t="s">
        <v>2874</v>
      </c>
      <c r="R347" t="s">
        <v>2873</v>
      </c>
      <c r="S347" s="178">
        <v>42620</v>
      </c>
      <c r="T347"/>
      <c r="U347" t="s">
        <v>1775</v>
      </c>
      <c r="V347" t="s">
        <v>2571</v>
      </c>
      <c r="W347" s="178">
        <v>42620</v>
      </c>
      <c r="X347" s="6">
        <v>238350</v>
      </c>
      <c r="Y347" s="6">
        <f t="shared" si="35"/>
        <v>0</v>
      </c>
      <c r="Z347"/>
    </row>
    <row r="348" spans="1:26" s="61" customFormat="1" ht="30" x14ac:dyDescent="0.25">
      <c r="A348" s="176" t="s">
        <v>4128</v>
      </c>
      <c r="B348" t="s">
        <v>18</v>
      </c>
      <c r="C348" t="s">
        <v>20</v>
      </c>
      <c r="D348" t="s">
        <v>4127</v>
      </c>
      <c r="E348" t="s">
        <v>4127</v>
      </c>
      <c r="F348" t="s">
        <v>4126</v>
      </c>
      <c r="G348" t="s">
        <v>212</v>
      </c>
      <c r="H348" s="4" t="s">
        <v>213</v>
      </c>
      <c r="I348" s="4" t="s">
        <v>2781</v>
      </c>
      <c r="J348" t="s">
        <v>888</v>
      </c>
      <c r="K348" s="6">
        <v>42859</v>
      </c>
      <c r="L348" s="6">
        <f t="shared" si="37"/>
        <v>10714.800000000001</v>
      </c>
      <c r="M348" s="6">
        <f t="shared" si="36"/>
        <v>0.19999999999708962</v>
      </c>
      <c r="N348" s="6">
        <v>53574</v>
      </c>
      <c r="O348" s="184" t="s">
        <v>4125</v>
      </c>
      <c r="P348" s="176" t="s">
        <v>4124</v>
      </c>
      <c r="Q348" t="s">
        <v>4123</v>
      </c>
      <c r="R348" t="s">
        <v>4122</v>
      </c>
      <c r="S348" s="178">
        <v>42457</v>
      </c>
      <c r="T348"/>
      <c r="U348" t="s">
        <v>1775</v>
      </c>
      <c r="V348" s="178" t="s">
        <v>2571</v>
      </c>
      <c r="W348" s="178">
        <v>42457</v>
      </c>
      <c r="X348" s="6">
        <v>42859</v>
      </c>
      <c r="Y348" s="6">
        <f t="shared" si="35"/>
        <v>0</v>
      </c>
      <c r="Z348"/>
    </row>
    <row r="349" spans="1:26" s="61" customFormat="1" ht="30" x14ac:dyDescent="0.25">
      <c r="A349" s="176" t="s">
        <v>3424</v>
      </c>
      <c r="B349" t="s">
        <v>18</v>
      </c>
      <c r="C349" t="s">
        <v>20</v>
      </c>
      <c r="D349" t="s">
        <v>3423</v>
      </c>
      <c r="E349" t="s">
        <v>3422</v>
      </c>
      <c r="F349" t="s">
        <v>3421</v>
      </c>
      <c r="G349" t="s">
        <v>177</v>
      </c>
      <c r="H349" s="4" t="s">
        <v>178</v>
      </c>
      <c r="I349" s="4" t="s">
        <v>2781</v>
      </c>
      <c r="J349" t="s">
        <v>893</v>
      </c>
      <c r="K349" s="6">
        <v>15417</v>
      </c>
      <c r="L349" s="6">
        <f t="shared" si="37"/>
        <v>3854.2000000000003</v>
      </c>
      <c r="M349" s="6">
        <f t="shared" si="36"/>
        <v>-0.2000000000007276</v>
      </c>
      <c r="N349" s="6">
        <v>19271</v>
      </c>
      <c r="O349" s="184" t="s">
        <v>3420</v>
      </c>
      <c r="P349" s="176" t="s">
        <v>3419</v>
      </c>
      <c r="Q349" t="s">
        <v>3425</v>
      </c>
      <c r="R349" t="s">
        <v>3417</v>
      </c>
      <c r="S349" s="178">
        <v>42442</v>
      </c>
      <c r="T349"/>
      <c r="U349" t="s">
        <v>2570</v>
      </c>
      <c r="V349" s="178" t="s">
        <v>2604</v>
      </c>
      <c r="W349" s="178">
        <v>42565</v>
      </c>
      <c r="X349" s="6">
        <v>15417</v>
      </c>
      <c r="Y349" s="6">
        <f t="shared" si="35"/>
        <v>0</v>
      </c>
      <c r="Z349"/>
    </row>
    <row r="350" spans="1:26" ht="30" x14ac:dyDescent="0.25">
      <c r="A350" s="176" t="s">
        <v>3424</v>
      </c>
      <c r="B350" t="s">
        <v>18</v>
      </c>
      <c r="C350" t="s">
        <v>20</v>
      </c>
      <c r="D350" t="s">
        <v>3423</v>
      </c>
      <c r="E350" t="s">
        <v>3422</v>
      </c>
      <c r="F350" t="s">
        <v>3421</v>
      </c>
      <c r="G350" t="s">
        <v>72</v>
      </c>
      <c r="H350" s="4" t="s">
        <v>1901</v>
      </c>
      <c r="I350" s="4" t="s">
        <v>2781</v>
      </c>
      <c r="J350" t="s">
        <v>893</v>
      </c>
      <c r="K350" s="6">
        <v>100338</v>
      </c>
      <c r="L350" s="6">
        <f>K350*1.25-K350</f>
        <v>25084.5</v>
      </c>
      <c r="M350" s="6">
        <f t="shared" si="36"/>
        <v>4494.5</v>
      </c>
      <c r="N350" s="6">
        <f>125422+4495</f>
        <v>129917</v>
      </c>
      <c r="O350" s="184" t="s">
        <v>3420</v>
      </c>
      <c r="P350" s="176" t="s">
        <v>3419</v>
      </c>
      <c r="Q350" t="s">
        <v>3418</v>
      </c>
      <c r="R350" t="s">
        <v>3417</v>
      </c>
      <c r="S350" s="178">
        <v>42442</v>
      </c>
      <c r="U350" t="s">
        <v>2570</v>
      </c>
      <c r="V350" s="178" t="s">
        <v>2604</v>
      </c>
      <c r="W350" s="178">
        <v>42565</v>
      </c>
      <c r="X350" s="6">
        <v>124810</v>
      </c>
      <c r="Y350" s="6">
        <f t="shared" si="35"/>
        <v>-24472</v>
      </c>
    </row>
    <row r="351" spans="1:26" x14ac:dyDescent="0.25">
      <c r="A351" s="176" t="s">
        <v>2690</v>
      </c>
      <c r="B351" t="s">
        <v>18</v>
      </c>
      <c r="C351" t="s">
        <v>20</v>
      </c>
      <c r="D351" t="s">
        <v>2689</v>
      </c>
      <c r="E351" t="s">
        <v>2688</v>
      </c>
      <c r="F351" t="s">
        <v>2687</v>
      </c>
      <c r="G351" t="s">
        <v>72</v>
      </c>
      <c r="H351" s="4" t="s">
        <v>1199</v>
      </c>
      <c r="I351" t="s">
        <v>2634</v>
      </c>
      <c r="J351" t="s">
        <v>883</v>
      </c>
      <c r="K351" s="6">
        <v>81259</v>
      </c>
      <c r="L351" s="6">
        <f>N351*0.3</f>
        <v>34825.35</v>
      </c>
      <c r="M351" s="6">
        <f t="shared" si="36"/>
        <v>0.14999999999417923</v>
      </c>
      <c r="N351" s="6">
        <v>116084.5</v>
      </c>
      <c r="O351" s="184" t="s">
        <v>2686</v>
      </c>
      <c r="P351" s="176" t="s">
        <v>2685</v>
      </c>
      <c r="Q351" t="s">
        <v>2684</v>
      </c>
      <c r="R351" t="s">
        <v>2683</v>
      </c>
      <c r="S351" s="178">
        <v>42339</v>
      </c>
      <c r="T351" s="178">
        <v>42384</v>
      </c>
      <c r="U351" t="s">
        <v>2301</v>
      </c>
      <c r="V351" s="178" t="s">
        <v>2604</v>
      </c>
      <c r="W351" s="178">
        <v>42635</v>
      </c>
      <c r="X351" s="6">
        <v>81259</v>
      </c>
      <c r="Y351" s="6">
        <f t="shared" si="35"/>
        <v>0</v>
      </c>
      <c r="Z351" t="s">
        <v>2682</v>
      </c>
    </row>
    <row r="352" spans="1:26" x14ac:dyDescent="0.25">
      <c r="A352" s="176" t="s">
        <v>2690</v>
      </c>
      <c r="B352" t="s">
        <v>18</v>
      </c>
      <c r="C352" t="s">
        <v>20</v>
      </c>
      <c r="D352" t="s">
        <v>2689</v>
      </c>
      <c r="E352" t="s">
        <v>2688</v>
      </c>
      <c r="F352" t="s">
        <v>2687</v>
      </c>
      <c r="G352" t="s">
        <v>72</v>
      </c>
      <c r="H352" s="4" t="s">
        <v>1199</v>
      </c>
      <c r="I352" t="s">
        <v>2581</v>
      </c>
      <c r="J352" t="s">
        <v>877</v>
      </c>
      <c r="K352" s="6">
        <v>86656</v>
      </c>
      <c r="L352" s="6">
        <f>N352*0.3</f>
        <v>37138.35</v>
      </c>
      <c r="M352" s="6">
        <f t="shared" si="36"/>
        <v>0.14999999999417923</v>
      </c>
      <c r="N352" s="6">
        <v>123794.5</v>
      </c>
      <c r="O352" s="184" t="s">
        <v>2686</v>
      </c>
      <c r="P352" s="176" t="s">
        <v>2685</v>
      </c>
      <c r="Q352" t="s">
        <v>2684</v>
      </c>
      <c r="R352" t="s">
        <v>2683</v>
      </c>
      <c r="S352" s="178">
        <v>42339</v>
      </c>
      <c r="T352" s="178">
        <v>42384</v>
      </c>
      <c r="U352" t="s">
        <v>2301</v>
      </c>
      <c r="V352" s="178" t="s">
        <v>2604</v>
      </c>
      <c r="W352" s="178">
        <v>42635</v>
      </c>
      <c r="X352" s="6">
        <v>216714</v>
      </c>
      <c r="Y352" s="6">
        <f t="shared" si="35"/>
        <v>-130058</v>
      </c>
      <c r="Z352" t="s">
        <v>2682</v>
      </c>
    </row>
    <row r="353" spans="1:26" x14ac:dyDescent="0.25">
      <c r="A353" s="188" t="s">
        <v>2202</v>
      </c>
      <c r="B353" t="s">
        <v>90</v>
      </c>
      <c r="C353" s="192" t="s">
        <v>20</v>
      </c>
      <c r="D353" s="192" t="s">
        <v>3068</v>
      </c>
      <c r="E353" s="192" t="s">
        <v>329</v>
      </c>
      <c r="F353" s="192" t="s">
        <v>3067</v>
      </c>
      <c r="G353" s="192" t="s">
        <v>177</v>
      </c>
      <c r="H353" s="15" t="s">
        <v>178</v>
      </c>
      <c r="I353" s="192" t="s">
        <v>2284</v>
      </c>
      <c r="J353" s="192" t="s">
        <v>889</v>
      </c>
      <c r="K353" s="183">
        <v>200000</v>
      </c>
      <c r="L353" s="183">
        <f>K353*1.25-K353</f>
        <v>50000</v>
      </c>
      <c r="M353" s="183">
        <f t="shared" si="36"/>
        <v>0</v>
      </c>
      <c r="N353" s="183">
        <v>250000</v>
      </c>
      <c r="O353" s="189" t="s">
        <v>2201</v>
      </c>
      <c r="P353" s="188" t="s">
        <v>2203</v>
      </c>
      <c r="Q353" s="192" t="s">
        <v>3066</v>
      </c>
      <c r="R353" s="192" t="s">
        <v>3065</v>
      </c>
      <c r="S353" s="185">
        <v>42593</v>
      </c>
      <c r="T353" s="61"/>
      <c r="U353" s="61" t="s">
        <v>1775</v>
      </c>
      <c r="V353" s="185" t="s">
        <v>2571</v>
      </c>
      <c r="W353" s="185">
        <v>42593</v>
      </c>
      <c r="X353" s="183">
        <v>200000</v>
      </c>
      <c r="Y353" s="183">
        <f t="shared" si="35"/>
        <v>0</v>
      </c>
      <c r="Z353" s="61"/>
    </row>
    <row r="354" spans="1:26" x14ac:dyDescent="0.25">
      <c r="A354" s="188" t="s">
        <v>2202</v>
      </c>
      <c r="B354" t="s">
        <v>90</v>
      </c>
      <c r="C354" s="192" t="s">
        <v>20</v>
      </c>
      <c r="D354" s="192" t="s">
        <v>3068</v>
      </c>
      <c r="E354" s="192" t="s">
        <v>329</v>
      </c>
      <c r="F354" s="192" t="s">
        <v>3067</v>
      </c>
      <c r="G354" s="192" t="s">
        <v>72</v>
      </c>
      <c r="H354" s="15" t="s">
        <v>75</v>
      </c>
      <c r="I354" s="192" t="s">
        <v>2284</v>
      </c>
      <c r="J354" s="192" t="s">
        <v>889</v>
      </c>
      <c r="K354" s="183">
        <v>1120000</v>
      </c>
      <c r="L354" s="183">
        <f>K354*1.25-K354</f>
        <v>280000</v>
      </c>
      <c r="M354" s="183">
        <f t="shared" si="36"/>
        <v>150000</v>
      </c>
      <c r="N354" s="183">
        <v>1550000</v>
      </c>
      <c r="O354" s="189" t="s">
        <v>2201</v>
      </c>
      <c r="P354" s="188" t="s">
        <v>2203</v>
      </c>
      <c r="Q354" s="192" t="s">
        <v>3066</v>
      </c>
      <c r="R354" s="192" t="s">
        <v>3065</v>
      </c>
      <c r="S354" s="185">
        <v>42593</v>
      </c>
      <c r="T354" s="61"/>
      <c r="U354" s="61" t="s">
        <v>1775</v>
      </c>
      <c r="V354" s="185" t="s">
        <v>2571</v>
      </c>
      <c r="W354" s="185">
        <v>42593</v>
      </c>
      <c r="X354" s="183">
        <v>1120000</v>
      </c>
      <c r="Y354" s="183">
        <f t="shared" si="35"/>
        <v>0</v>
      </c>
      <c r="Z354" s="61"/>
    </row>
    <row r="355" spans="1:26" x14ac:dyDescent="0.25">
      <c r="A355" s="176" t="s">
        <v>3220</v>
      </c>
      <c r="B355" t="s">
        <v>18</v>
      </c>
      <c r="C355" t="s">
        <v>20</v>
      </c>
      <c r="D355" t="s">
        <v>551</v>
      </c>
      <c r="E355" s="4" t="s">
        <v>3219</v>
      </c>
      <c r="F355" s="4" t="s">
        <v>3218</v>
      </c>
      <c r="G355" t="s">
        <v>177</v>
      </c>
      <c r="H355" s="4" t="s">
        <v>178</v>
      </c>
      <c r="I355" t="s">
        <v>2581</v>
      </c>
      <c r="J355" t="s">
        <v>877</v>
      </c>
      <c r="K355" s="6">
        <v>360706</v>
      </c>
      <c r="L355" s="6">
        <f>N355*0.2</f>
        <v>90176.400000000009</v>
      </c>
      <c r="M355" s="6">
        <f t="shared" si="36"/>
        <v>-0.40000000002328306</v>
      </c>
      <c r="N355" s="6">
        <v>450882</v>
      </c>
      <c r="O355" s="184" t="s">
        <v>3217</v>
      </c>
      <c r="P355" s="176" t="s">
        <v>3216</v>
      </c>
      <c r="Q355" t="s">
        <v>3221</v>
      </c>
      <c r="R355" t="s">
        <v>3214</v>
      </c>
      <c r="S355" s="178">
        <v>42430</v>
      </c>
      <c r="U355" t="s">
        <v>1775</v>
      </c>
      <c r="V355" s="178" t="s">
        <v>2604</v>
      </c>
      <c r="W355" s="178">
        <v>42586</v>
      </c>
      <c r="X355" s="6">
        <v>360706</v>
      </c>
      <c r="Y355" s="6">
        <f t="shared" si="35"/>
        <v>0</v>
      </c>
    </row>
    <row r="356" spans="1:26" x14ac:dyDescent="0.25">
      <c r="A356" s="176" t="s">
        <v>3220</v>
      </c>
      <c r="B356" t="s">
        <v>18</v>
      </c>
      <c r="C356" t="s">
        <v>20</v>
      </c>
      <c r="D356" t="s">
        <v>551</v>
      </c>
      <c r="E356" s="4" t="s">
        <v>3219</v>
      </c>
      <c r="F356" s="4" t="s">
        <v>3218</v>
      </c>
      <c r="G356" t="s">
        <v>72</v>
      </c>
      <c r="H356" s="4" t="s">
        <v>123</v>
      </c>
      <c r="I356" t="s">
        <v>2581</v>
      </c>
      <c r="J356" t="s">
        <v>877</v>
      </c>
      <c r="K356" s="6">
        <v>2421137</v>
      </c>
      <c r="L356" s="6">
        <f>N356*0.2</f>
        <v>605284.4</v>
      </c>
      <c r="M356" s="6">
        <f t="shared" si="36"/>
        <v>0.60000000009313226</v>
      </c>
      <c r="N356" s="6">
        <v>3026422</v>
      </c>
      <c r="O356" s="184" t="s">
        <v>3217</v>
      </c>
      <c r="P356" s="176" t="s">
        <v>3216</v>
      </c>
      <c r="Q356" t="s">
        <v>3215</v>
      </c>
      <c r="R356" t="s">
        <v>3214</v>
      </c>
      <c r="S356" s="178">
        <v>42430</v>
      </c>
      <c r="T356" s="178">
        <v>42482</v>
      </c>
      <c r="U356" t="s">
        <v>1775</v>
      </c>
      <c r="V356" s="178" t="s">
        <v>2604</v>
      </c>
      <c r="W356" s="178">
        <v>42586</v>
      </c>
      <c r="X356" s="6">
        <v>3263167</v>
      </c>
      <c r="Y356" s="6">
        <f t="shared" si="35"/>
        <v>-842030</v>
      </c>
    </row>
    <row r="357" spans="1:26" x14ac:dyDescent="0.25">
      <c r="A357" s="188" t="s">
        <v>3360</v>
      </c>
      <c r="B357" t="s">
        <v>90</v>
      </c>
      <c r="C357" t="s">
        <v>20</v>
      </c>
      <c r="D357" t="s">
        <v>19</v>
      </c>
      <c r="E357" t="s">
        <v>3359</v>
      </c>
      <c r="F357" t="s">
        <v>3358</v>
      </c>
      <c r="G357" t="s">
        <v>73</v>
      </c>
      <c r="H357" s="4" t="s">
        <v>245</v>
      </c>
      <c r="I357" t="s">
        <v>2284</v>
      </c>
      <c r="J357" t="s">
        <v>889</v>
      </c>
      <c r="K357" s="6">
        <v>276000</v>
      </c>
      <c r="L357" s="6">
        <f>N357*0.2</f>
        <v>69000</v>
      </c>
      <c r="M357" s="6">
        <f t="shared" si="36"/>
        <v>0</v>
      </c>
      <c r="N357" s="6">
        <v>345000</v>
      </c>
      <c r="O357" s="200" t="s">
        <v>2207</v>
      </c>
      <c r="P357" s="176" t="s">
        <v>2209</v>
      </c>
      <c r="Q357" t="s">
        <v>3357</v>
      </c>
      <c r="R357" t="s">
        <v>3356</v>
      </c>
      <c r="S357" s="178">
        <v>42383</v>
      </c>
      <c r="T357" s="178"/>
      <c r="U357" t="s">
        <v>2301</v>
      </c>
      <c r="V357" s="178" t="s">
        <v>2604</v>
      </c>
      <c r="W357" s="178">
        <v>42571</v>
      </c>
      <c r="X357" s="6">
        <v>276000</v>
      </c>
      <c r="Y357" s="6">
        <f t="shared" si="35"/>
        <v>0</v>
      </c>
      <c r="Z357" t="s">
        <v>3355</v>
      </c>
    </row>
    <row r="358" spans="1:26" x14ac:dyDescent="0.25">
      <c r="A358" s="176" t="s">
        <v>2212</v>
      </c>
      <c r="B358" t="s">
        <v>18</v>
      </c>
      <c r="C358" t="s">
        <v>20</v>
      </c>
      <c r="D358" t="s">
        <v>539</v>
      </c>
      <c r="E358" t="s">
        <v>2214</v>
      </c>
      <c r="F358" t="s">
        <v>3708</v>
      </c>
      <c r="G358" t="s">
        <v>72</v>
      </c>
      <c r="H358" s="4" t="s">
        <v>1199</v>
      </c>
      <c r="I358" t="s">
        <v>2284</v>
      </c>
      <c r="J358" t="s">
        <v>889</v>
      </c>
      <c r="K358" s="6">
        <f>479658+6320</f>
        <v>485978</v>
      </c>
      <c r="L358" s="6">
        <f>N358*0.2</f>
        <v>121494.6</v>
      </c>
      <c r="M358" s="6">
        <f t="shared" si="36"/>
        <v>0.40000000002328306</v>
      </c>
      <c r="N358" s="6">
        <f>599573+7900</f>
        <v>607473</v>
      </c>
      <c r="O358" s="184" t="s">
        <v>2211</v>
      </c>
      <c r="P358" s="176" t="s">
        <v>2213</v>
      </c>
      <c r="Q358" t="s">
        <v>3709</v>
      </c>
      <c r="R358" t="s">
        <v>3706</v>
      </c>
      <c r="S358" s="178">
        <v>42326</v>
      </c>
      <c r="U358" t="s">
        <v>2301</v>
      </c>
      <c r="V358" s="178" t="s">
        <v>2604</v>
      </c>
      <c r="W358" s="178">
        <v>42537</v>
      </c>
      <c r="X358" s="6">
        <v>700309</v>
      </c>
      <c r="Y358" s="6">
        <f t="shared" si="35"/>
        <v>-214331</v>
      </c>
    </row>
    <row r="359" spans="1:26" x14ac:dyDescent="0.25">
      <c r="A359" s="176" t="s">
        <v>2212</v>
      </c>
      <c r="B359" t="s">
        <v>18</v>
      </c>
      <c r="C359" t="s">
        <v>20</v>
      </c>
      <c r="D359" t="s">
        <v>539</v>
      </c>
      <c r="E359" t="s">
        <v>2214</v>
      </c>
      <c r="F359" t="s">
        <v>3708</v>
      </c>
      <c r="G359" t="s">
        <v>177</v>
      </c>
      <c r="H359" s="4" t="s">
        <v>178</v>
      </c>
      <c r="I359" t="s">
        <v>2284</v>
      </c>
      <c r="J359" t="s">
        <v>889</v>
      </c>
      <c r="K359" s="6">
        <v>51826</v>
      </c>
      <c r="L359" s="6">
        <f>N359*0.2</f>
        <v>12956.6</v>
      </c>
      <c r="M359" s="6">
        <f t="shared" si="36"/>
        <v>0.40000000000145519</v>
      </c>
      <c r="N359" s="6">
        <v>64783</v>
      </c>
      <c r="O359" s="184" t="s">
        <v>2211</v>
      </c>
      <c r="P359" s="176" t="s">
        <v>2213</v>
      </c>
      <c r="Q359" t="s">
        <v>3707</v>
      </c>
      <c r="R359" t="s">
        <v>3706</v>
      </c>
      <c r="S359" s="178">
        <v>42326</v>
      </c>
      <c r="U359" t="s">
        <v>2301</v>
      </c>
      <c r="V359" s="178" t="s">
        <v>2604</v>
      </c>
      <c r="W359" s="178">
        <v>42537</v>
      </c>
      <c r="X359" s="6">
        <v>51826</v>
      </c>
      <c r="Y359" s="6">
        <f t="shared" si="35"/>
        <v>0</v>
      </c>
    </row>
    <row r="360" spans="1:26" x14ac:dyDescent="0.25">
      <c r="A360" s="188" t="s">
        <v>3285</v>
      </c>
      <c r="B360" t="s">
        <v>90</v>
      </c>
      <c r="C360" s="61" t="s">
        <v>20</v>
      </c>
      <c r="D360" s="61" t="s">
        <v>2689</v>
      </c>
      <c r="E360" s="61" t="s">
        <v>3284</v>
      </c>
      <c r="F360" s="61" t="s">
        <v>3283</v>
      </c>
      <c r="G360" s="61" t="s">
        <v>212</v>
      </c>
      <c r="H360" s="15" t="s">
        <v>213</v>
      </c>
      <c r="I360" s="15" t="s">
        <v>1277</v>
      </c>
      <c r="J360" s="15" t="s">
        <v>877</v>
      </c>
      <c r="K360" s="183">
        <v>112472</v>
      </c>
      <c r="L360" s="183">
        <f>K360*1.25-K360</f>
        <v>28118</v>
      </c>
      <c r="M360" s="183">
        <f t="shared" si="36"/>
        <v>0</v>
      </c>
      <c r="N360" s="183">
        <v>140590</v>
      </c>
      <c r="O360" s="189" t="s">
        <v>3282</v>
      </c>
      <c r="P360" s="188" t="s">
        <v>3281</v>
      </c>
      <c r="Q360" s="61" t="s">
        <v>3280</v>
      </c>
      <c r="R360" s="61" t="s">
        <v>3279</v>
      </c>
      <c r="S360" s="185">
        <v>42573</v>
      </c>
      <c r="T360" s="61"/>
      <c r="U360" s="61" t="s">
        <v>1775</v>
      </c>
      <c r="V360" s="185" t="s">
        <v>2571</v>
      </c>
      <c r="W360" s="185">
        <v>42573</v>
      </c>
      <c r="X360" s="183">
        <v>112472</v>
      </c>
      <c r="Y360" s="183">
        <f t="shared" si="35"/>
        <v>0</v>
      </c>
      <c r="Z360" s="61"/>
    </row>
    <row r="361" spans="1:26" x14ac:dyDescent="0.25">
      <c r="A361" s="176" t="s">
        <v>3880</v>
      </c>
      <c r="B361" t="s">
        <v>18</v>
      </c>
      <c r="C361" t="s">
        <v>20</v>
      </c>
      <c r="D361" t="s">
        <v>2689</v>
      </c>
      <c r="E361" s="4" t="s">
        <v>3879</v>
      </c>
      <c r="F361" s="4" t="s">
        <v>3878</v>
      </c>
      <c r="G361" t="s">
        <v>177</v>
      </c>
      <c r="H361" s="4" t="s">
        <v>178</v>
      </c>
      <c r="I361" t="s">
        <v>2581</v>
      </c>
      <c r="J361" t="s">
        <v>877</v>
      </c>
      <c r="K361" s="6">
        <v>171137</v>
      </c>
      <c r="L361" s="6">
        <f>N361*0.2</f>
        <v>60986</v>
      </c>
      <c r="M361" s="6">
        <f t="shared" si="36"/>
        <v>72807</v>
      </c>
      <c r="N361" s="6">
        <v>304930</v>
      </c>
      <c r="O361" s="184" t="s">
        <v>3877</v>
      </c>
      <c r="P361" s="176" t="s">
        <v>3876</v>
      </c>
      <c r="Q361" t="s">
        <v>3881</v>
      </c>
      <c r="R361" t="s">
        <v>3874</v>
      </c>
      <c r="S361" s="178">
        <v>42430</v>
      </c>
      <c r="U361" t="s">
        <v>1775</v>
      </c>
      <c r="V361" s="178" t="s">
        <v>2604</v>
      </c>
      <c r="W361" s="178">
        <v>42514</v>
      </c>
      <c r="X361" s="6">
        <v>171137</v>
      </c>
      <c r="Y361" s="6">
        <f t="shared" si="35"/>
        <v>0</v>
      </c>
    </row>
    <row r="362" spans="1:26" s="61" customFormat="1" x14ac:dyDescent="0.25">
      <c r="A362" s="176" t="s">
        <v>3880</v>
      </c>
      <c r="B362" t="s">
        <v>18</v>
      </c>
      <c r="C362" t="s">
        <v>20</v>
      </c>
      <c r="D362" t="s">
        <v>2689</v>
      </c>
      <c r="E362" s="4" t="s">
        <v>3879</v>
      </c>
      <c r="F362" s="4" t="s">
        <v>3878</v>
      </c>
      <c r="G362" t="s">
        <v>72</v>
      </c>
      <c r="H362" s="4" t="s">
        <v>123</v>
      </c>
      <c r="I362" t="s">
        <v>2581</v>
      </c>
      <c r="J362" t="s">
        <v>877</v>
      </c>
      <c r="K362" s="6">
        <v>1436183</v>
      </c>
      <c r="L362" s="6">
        <f>(K362*1.25)-K362</f>
        <v>359045.75</v>
      </c>
      <c r="M362" s="6">
        <f t="shared" si="36"/>
        <v>691000.25</v>
      </c>
      <c r="N362" s="6">
        <v>2486229</v>
      </c>
      <c r="O362" s="184" t="s">
        <v>3877</v>
      </c>
      <c r="P362" s="176" t="s">
        <v>3876</v>
      </c>
      <c r="Q362" t="s">
        <v>3875</v>
      </c>
      <c r="R362" t="s">
        <v>3874</v>
      </c>
      <c r="S362" s="178">
        <v>42430</v>
      </c>
      <c r="T362" s="178">
        <v>42482</v>
      </c>
      <c r="U362" t="s">
        <v>1775</v>
      </c>
      <c r="V362" s="178" t="s">
        <v>2604</v>
      </c>
      <c r="W362" s="178">
        <v>42514</v>
      </c>
      <c r="X362" s="6">
        <v>1535204</v>
      </c>
      <c r="Y362" s="6">
        <f t="shared" si="35"/>
        <v>-99021</v>
      </c>
      <c r="Z362"/>
    </row>
    <row r="363" spans="1:26" s="61" customFormat="1" x14ac:dyDescent="0.25">
      <c r="A363" s="176" t="s">
        <v>2848</v>
      </c>
      <c r="B363" t="s">
        <v>18</v>
      </c>
      <c r="C363" t="s">
        <v>20</v>
      </c>
      <c r="D363" s="4" t="s">
        <v>2847</v>
      </c>
      <c r="E363" s="4" t="s">
        <v>41</v>
      </c>
      <c r="F363" s="4" t="s">
        <v>2847</v>
      </c>
      <c r="G363" s="4" t="s">
        <v>177</v>
      </c>
      <c r="H363" s="4" t="s">
        <v>178</v>
      </c>
      <c r="I363" s="4" t="s">
        <v>2653</v>
      </c>
      <c r="J363" s="4" t="s">
        <v>2652</v>
      </c>
      <c r="K363" s="6">
        <v>49043</v>
      </c>
      <c r="L363" s="6">
        <f t="shared" ref="L363:L370" si="38">N363*0.2</f>
        <v>12260.800000000001</v>
      </c>
      <c r="M363" s="6">
        <f t="shared" si="36"/>
        <v>0.19999999999708962</v>
      </c>
      <c r="N363" s="6">
        <v>61304</v>
      </c>
      <c r="O363" s="184" t="s">
        <v>2845</v>
      </c>
      <c r="P363" s="176" t="s">
        <v>2844</v>
      </c>
      <c r="Q363" t="s">
        <v>2849</v>
      </c>
      <c r="R363" t="s">
        <v>2842</v>
      </c>
      <c r="S363" s="178">
        <v>42621</v>
      </c>
      <c r="T363"/>
      <c r="U363" t="s">
        <v>1775</v>
      </c>
      <c r="V363" t="s">
        <v>2571</v>
      </c>
      <c r="W363" s="178">
        <v>42621</v>
      </c>
      <c r="X363" s="6">
        <v>49043</v>
      </c>
      <c r="Y363" s="6">
        <f t="shared" si="35"/>
        <v>0</v>
      </c>
      <c r="Z363"/>
    </row>
    <row r="364" spans="1:26" ht="30" x14ac:dyDescent="0.25">
      <c r="A364" s="176" t="s">
        <v>2848</v>
      </c>
      <c r="B364" t="s">
        <v>18</v>
      </c>
      <c r="C364" t="s">
        <v>20</v>
      </c>
      <c r="D364" s="4" t="s">
        <v>2847</v>
      </c>
      <c r="E364" s="4" t="s">
        <v>41</v>
      </c>
      <c r="F364" s="4" t="s">
        <v>2847</v>
      </c>
      <c r="G364" s="4" t="s">
        <v>72</v>
      </c>
      <c r="H364" s="4" t="s">
        <v>2846</v>
      </c>
      <c r="I364" s="4" t="s">
        <v>2653</v>
      </c>
      <c r="J364" s="4" t="s">
        <v>2652</v>
      </c>
      <c r="K364" s="6">
        <v>422737</v>
      </c>
      <c r="L364" s="6">
        <f t="shared" si="38"/>
        <v>105684.20000000001</v>
      </c>
      <c r="M364" s="6">
        <f t="shared" si="36"/>
        <v>-0.19999999995343387</v>
      </c>
      <c r="N364" s="6">
        <v>528421</v>
      </c>
      <c r="O364" s="184" t="s">
        <v>2845</v>
      </c>
      <c r="P364" s="176" t="s">
        <v>2844</v>
      </c>
      <c r="Q364" t="s">
        <v>2843</v>
      </c>
      <c r="R364" t="s">
        <v>2842</v>
      </c>
      <c r="S364" s="178">
        <v>42621</v>
      </c>
      <c r="T364" s="178">
        <v>42678</v>
      </c>
      <c r="U364" t="s">
        <v>1775</v>
      </c>
      <c r="V364" t="s">
        <v>2571</v>
      </c>
      <c r="W364" s="178">
        <v>42621</v>
      </c>
      <c r="X364" s="6">
        <v>422737</v>
      </c>
      <c r="Y364" s="6">
        <f t="shared" si="35"/>
        <v>0</v>
      </c>
    </row>
    <row r="365" spans="1:26" x14ac:dyDescent="0.25">
      <c r="A365" s="176" t="s">
        <v>3814</v>
      </c>
      <c r="B365" t="s">
        <v>18</v>
      </c>
      <c r="C365" t="s">
        <v>20</v>
      </c>
      <c r="D365" t="s">
        <v>3813</v>
      </c>
      <c r="E365" s="4" t="s">
        <v>41</v>
      </c>
      <c r="F365" s="4" t="s">
        <v>3812</v>
      </c>
      <c r="G365" t="s">
        <v>177</v>
      </c>
      <c r="H365" s="4" t="s">
        <v>178</v>
      </c>
      <c r="I365" t="s">
        <v>2581</v>
      </c>
      <c r="J365" t="s">
        <v>877</v>
      </c>
      <c r="K365" s="6">
        <v>107301</v>
      </c>
      <c r="L365" s="6">
        <f t="shared" si="38"/>
        <v>26826</v>
      </c>
      <c r="M365" s="6">
        <f t="shared" si="36"/>
        <v>3</v>
      </c>
      <c r="N365" s="6">
        <v>134130</v>
      </c>
      <c r="O365" s="184" t="s">
        <v>3811</v>
      </c>
      <c r="P365" s="176" t="s">
        <v>3810</v>
      </c>
      <c r="Q365" t="s">
        <v>3815</v>
      </c>
      <c r="R365" t="s">
        <v>3808</v>
      </c>
      <c r="S365" s="178">
        <v>42430</v>
      </c>
      <c r="U365" t="s">
        <v>1775</v>
      </c>
      <c r="V365" s="178" t="s">
        <v>2571</v>
      </c>
      <c r="W365" s="178">
        <v>42516</v>
      </c>
      <c r="X365" s="6">
        <v>107301</v>
      </c>
      <c r="Y365" s="6">
        <f t="shared" si="35"/>
        <v>0</v>
      </c>
    </row>
    <row r="366" spans="1:26" x14ac:dyDescent="0.25">
      <c r="A366" s="176" t="s">
        <v>3814</v>
      </c>
      <c r="B366" t="s">
        <v>18</v>
      </c>
      <c r="C366" t="s">
        <v>20</v>
      </c>
      <c r="D366" t="s">
        <v>3813</v>
      </c>
      <c r="E366" s="4" t="s">
        <v>41</v>
      </c>
      <c r="F366" s="4" t="s">
        <v>3812</v>
      </c>
      <c r="G366" t="s">
        <v>72</v>
      </c>
      <c r="H366" s="4" t="s">
        <v>2609</v>
      </c>
      <c r="I366" t="s">
        <v>2581</v>
      </c>
      <c r="J366" t="s">
        <v>877</v>
      </c>
      <c r="K366" s="6">
        <v>745701</v>
      </c>
      <c r="L366" s="6">
        <f t="shared" si="38"/>
        <v>186424.80000000002</v>
      </c>
      <c r="M366" s="6">
        <f t="shared" si="36"/>
        <v>-1.8000000000465661</v>
      </c>
      <c r="N366" s="6">
        <v>932124</v>
      </c>
      <c r="O366" s="184" t="s">
        <v>3811</v>
      </c>
      <c r="P366" s="176" t="s">
        <v>3810</v>
      </c>
      <c r="Q366" t="s">
        <v>3809</v>
      </c>
      <c r="R366" t="s">
        <v>3808</v>
      </c>
      <c r="S366" s="178">
        <v>42430</v>
      </c>
      <c r="T366" s="178">
        <v>42482</v>
      </c>
      <c r="U366" t="s">
        <v>1775</v>
      </c>
      <c r="V366" s="178" t="s">
        <v>2571</v>
      </c>
      <c r="W366" s="178">
        <v>42516</v>
      </c>
      <c r="X366" s="6">
        <v>1028800</v>
      </c>
      <c r="Y366" s="6">
        <f t="shared" si="35"/>
        <v>-283099</v>
      </c>
    </row>
    <row r="367" spans="1:26" ht="60" x14ac:dyDescent="0.25">
      <c r="A367" s="176" t="s">
        <v>3242</v>
      </c>
      <c r="B367" t="s">
        <v>18</v>
      </c>
      <c r="C367" t="s">
        <v>20</v>
      </c>
      <c r="D367" t="s">
        <v>3241</v>
      </c>
      <c r="E367" s="4" t="s">
        <v>41</v>
      </c>
      <c r="F367" s="4" t="s">
        <v>3240</v>
      </c>
      <c r="G367" t="s">
        <v>72</v>
      </c>
      <c r="H367" s="4" t="s">
        <v>2609</v>
      </c>
      <c r="I367" t="s">
        <v>2581</v>
      </c>
      <c r="J367" t="s">
        <v>868</v>
      </c>
      <c r="K367" s="6">
        <v>463903</v>
      </c>
      <c r="L367" s="6">
        <f t="shared" si="38"/>
        <v>115975.8</v>
      </c>
      <c r="M367" s="6">
        <f t="shared" si="36"/>
        <v>0.19999999995343387</v>
      </c>
      <c r="N367" s="6">
        <v>579879</v>
      </c>
      <c r="O367" s="184" t="s">
        <v>3239</v>
      </c>
      <c r="P367" s="176" t="s">
        <v>3238</v>
      </c>
      <c r="Q367" t="s">
        <v>3243</v>
      </c>
      <c r="R367" t="s">
        <v>3236</v>
      </c>
      <c r="S367" s="178">
        <v>42383</v>
      </c>
      <c r="U367" t="s">
        <v>2301</v>
      </c>
      <c r="V367" s="178" t="s">
        <v>2604</v>
      </c>
      <c r="W367" s="178">
        <v>42586</v>
      </c>
      <c r="X367" s="6">
        <v>720000</v>
      </c>
      <c r="Y367" s="6">
        <f t="shared" si="35"/>
        <v>-256097</v>
      </c>
    </row>
    <row r="368" spans="1:26" s="61" customFormat="1" ht="60" x14ac:dyDescent="0.25">
      <c r="A368" s="176" t="s">
        <v>3242</v>
      </c>
      <c r="B368" t="s">
        <v>18</v>
      </c>
      <c r="C368" t="s">
        <v>20</v>
      </c>
      <c r="D368" t="s">
        <v>3241</v>
      </c>
      <c r="E368" s="4" t="s">
        <v>41</v>
      </c>
      <c r="F368" s="4" t="s">
        <v>3240</v>
      </c>
      <c r="G368" t="s">
        <v>177</v>
      </c>
      <c r="H368" s="4" t="s">
        <v>178</v>
      </c>
      <c r="I368" t="s">
        <v>2581</v>
      </c>
      <c r="J368" t="s">
        <v>868</v>
      </c>
      <c r="K368" s="6">
        <v>65338</v>
      </c>
      <c r="L368" s="6">
        <f t="shared" si="38"/>
        <v>16334.6</v>
      </c>
      <c r="M368" s="6">
        <f t="shared" si="36"/>
        <v>0.39999999999417923</v>
      </c>
      <c r="N368" s="6">
        <v>81673</v>
      </c>
      <c r="O368" s="184" t="s">
        <v>3239</v>
      </c>
      <c r="P368" s="176" t="s">
        <v>3238</v>
      </c>
      <c r="Q368" t="s">
        <v>3237</v>
      </c>
      <c r="R368" t="s">
        <v>3236</v>
      </c>
      <c r="S368" s="178">
        <v>42383</v>
      </c>
      <c r="T368"/>
      <c r="U368" t="s">
        <v>2301</v>
      </c>
      <c r="V368" s="178" t="s">
        <v>2604</v>
      </c>
      <c r="W368" s="178">
        <v>42586</v>
      </c>
      <c r="X368" s="6">
        <v>65338</v>
      </c>
      <c r="Y368" s="6">
        <f t="shared" si="35"/>
        <v>0</v>
      </c>
      <c r="Z368"/>
    </row>
    <row r="369" spans="1:26" x14ac:dyDescent="0.25">
      <c r="A369" s="176" t="s">
        <v>4400</v>
      </c>
      <c r="B369" t="s">
        <v>18</v>
      </c>
      <c r="C369" t="s">
        <v>20</v>
      </c>
      <c r="D369" t="s">
        <v>19</v>
      </c>
      <c r="E369" t="s">
        <v>4399</v>
      </c>
      <c r="F369" t="s">
        <v>3510</v>
      </c>
      <c r="G369" t="s">
        <v>117</v>
      </c>
      <c r="H369" s="4" t="s">
        <v>119</v>
      </c>
      <c r="I369" t="s">
        <v>1277</v>
      </c>
      <c r="J369" t="s">
        <v>877</v>
      </c>
      <c r="K369" s="6">
        <v>77714</v>
      </c>
      <c r="L369" s="6">
        <f t="shared" si="38"/>
        <v>19428.400000000001</v>
      </c>
      <c r="M369" s="6">
        <f t="shared" si="36"/>
        <v>-0.39999999999417923</v>
      </c>
      <c r="N369" s="6">
        <v>97142</v>
      </c>
      <c r="O369" s="184" t="s">
        <v>4398</v>
      </c>
      <c r="P369" s="176" t="s">
        <v>4397</v>
      </c>
      <c r="Q369" t="s">
        <v>4396</v>
      </c>
      <c r="R369" t="s">
        <v>4395</v>
      </c>
      <c r="S369" s="178">
        <v>42383</v>
      </c>
      <c r="U369" t="s">
        <v>1775</v>
      </c>
      <c r="V369" s="178" t="s">
        <v>2571</v>
      </c>
      <c r="W369" s="178">
        <v>42383</v>
      </c>
      <c r="X369" s="6">
        <v>77714</v>
      </c>
      <c r="Y369" s="6">
        <f t="shared" si="35"/>
        <v>0</v>
      </c>
    </row>
    <row r="370" spans="1:26" x14ac:dyDescent="0.25">
      <c r="A370" s="176" t="s">
        <v>4224</v>
      </c>
      <c r="B370" t="s">
        <v>18</v>
      </c>
      <c r="C370" t="s">
        <v>20</v>
      </c>
      <c r="D370" t="s">
        <v>2847</v>
      </c>
      <c r="E370" t="s">
        <v>3022</v>
      </c>
      <c r="F370" t="s">
        <v>4223</v>
      </c>
      <c r="G370" t="s">
        <v>117</v>
      </c>
      <c r="H370" s="4" t="s">
        <v>119</v>
      </c>
      <c r="I370" t="s">
        <v>2581</v>
      </c>
      <c r="J370" t="s">
        <v>877</v>
      </c>
      <c r="K370" s="6">
        <v>119210</v>
      </c>
      <c r="L370" s="6">
        <f t="shared" si="38"/>
        <v>29802.400000000001</v>
      </c>
      <c r="M370" s="6">
        <f t="shared" ref="M370:M400" si="39">N370-(K370+L370)</f>
        <v>-0.39999999999417923</v>
      </c>
      <c r="N370" s="6">
        <v>149012</v>
      </c>
      <c r="O370" s="184" t="s">
        <v>4222</v>
      </c>
      <c r="P370" s="176" t="s">
        <v>4221</v>
      </c>
      <c r="Q370" t="s">
        <v>4220</v>
      </c>
      <c r="R370" t="s">
        <v>4219</v>
      </c>
      <c r="S370" s="178">
        <v>42436</v>
      </c>
      <c r="U370" t="s">
        <v>1775</v>
      </c>
      <c r="V370" s="178" t="s">
        <v>2571</v>
      </c>
      <c r="W370" s="178">
        <v>42436</v>
      </c>
      <c r="X370" s="6">
        <v>119210</v>
      </c>
      <c r="Y370" s="6">
        <f t="shared" si="35"/>
        <v>0</v>
      </c>
    </row>
    <row r="371" spans="1:26" s="61" customFormat="1" ht="30" x14ac:dyDescent="0.25">
      <c r="A371" s="195" t="s">
        <v>3112</v>
      </c>
      <c r="B371" t="s">
        <v>18</v>
      </c>
      <c r="C371" s="192" t="s">
        <v>20</v>
      </c>
      <c r="D371" s="192" t="s">
        <v>19</v>
      </c>
      <c r="E371" s="193" t="s">
        <v>3111</v>
      </c>
      <c r="F371" s="192" t="s">
        <v>3110</v>
      </c>
      <c r="G371" s="192" t="s">
        <v>177</v>
      </c>
      <c r="H371" s="193" t="s">
        <v>178</v>
      </c>
      <c r="I371" s="192" t="s">
        <v>2715</v>
      </c>
      <c r="J371" s="192" t="s">
        <v>2714</v>
      </c>
      <c r="K371" s="197">
        <v>236820</v>
      </c>
      <c r="L371" s="197">
        <f>K371*1.25-K371</f>
        <v>59205</v>
      </c>
      <c r="M371" s="197">
        <f t="shared" si="39"/>
        <v>0</v>
      </c>
      <c r="N371" s="197">
        <v>296025</v>
      </c>
      <c r="O371" s="196" t="s">
        <v>3109</v>
      </c>
      <c r="P371" s="195" t="s">
        <v>3108</v>
      </c>
      <c r="Q371" s="192" t="s">
        <v>3113</v>
      </c>
      <c r="R371" s="192" t="s">
        <v>3106</v>
      </c>
      <c r="S371" s="198">
        <v>42586</v>
      </c>
      <c r="T371" s="192"/>
      <c r="U371" s="192" t="s">
        <v>1775</v>
      </c>
      <c r="V371" s="198" t="s">
        <v>2571</v>
      </c>
      <c r="W371" s="198">
        <v>42586</v>
      </c>
      <c r="X371" s="197">
        <v>236820</v>
      </c>
      <c r="Y371" s="197">
        <f t="shared" si="35"/>
        <v>0</v>
      </c>
      <c r="Z371" s="193" t="s">
        <v>3105</v>
      </c>
    </row>
    <row r="372" spans="1:26" s="61" customFormat="1" ht="30" x14ac:dyDescent="0.25">
      <c r="A372" s="195" t="s">
        <v>3112</v>
      </c>
      <c r="B372" t="s">
        <v>18</v>
      </c>
      <c r="C372" s="192" t="s">
        <v>20</v>
      </c>
      <c r="D372" s="192" t="s">
        <v>19</v>
      </c>
      <c r="E372" s="193" t="s">
        <v>3111</v>
      </c>
      <c r="F372" s="192" t="s">
        <v>3110</v>
      </c>
      <c r="G372" s="192" t="s">
        <v>72</v>
      </c>
      <c r="H372" s="193" t="s">
        <v>1901</v>
      </c>
      <c r="I372" s="192" t="s">
        <v>2715</v>
      </c>
      <c r="J372" s="192" t="s">
        <v>2714</v>
      </c>
      <c r="K372" s="197">
        <v>1813000</v>
      </c>
      <c r="L372" s="6">
        <f>K372*1.25-K372</f>
        <v>453250</v>
      </c>
      <c r="M372" s="6">
        <f t="shared" si="39"/>
        <v>0</v>
      </c>
      <c r="N372" s="6">
        <v>2266250</v>
      </c>
      <c r="O372" s="196" t="s">
        <v>3109</v>
      </c>
      <c r="P372" s="195" t="s">
        <v>3108</v>
      </c>
      <c r="Q372" s="192" t="s">
        <v>3107</v>
      </c>
      <c r="R372" s="192" t="s">
        <v>3106</v>
      </c>
      <c r="S372" s="178">
        <v>42586</v>
      </c>
      <c r="T372"/>
      <c r="U372" s="61" t="s">
        <v>1775</v>
      </c>
      <c r="V372" s="178" t="s">
        <v>2571</v>
      </c>
      <c r="W372" s="178">
        <v>42586</v>
      </c>
      <c r="X372" s="6">
        <v>1813000</v>
      </c>
      <c r="Y372" s="6">
        <f t="shared" si="35"/>
        <v>0</v>
      </c>
      <c r="Z372" s="193" t="s">
        <v>3105</v>
      </c>
    </row>
    <row r="373" spans="1:26" s="61" customFormat="1" x14ac:dyDescent="0.25">
      <c r="A373" s="188" t="s">
        <v>2928</v>
      </c>
      <c r="B373" t="s">
        <v>18</v>
      </c>
      <c r="C373" s="61" t="s">
        <v>20</v>
      </c>
      <c r="D373" s="61" t="s">
        <v>2927</v>
      </c>
      <c r="E373" s="15" t="s">
        <v>2926</v>
      </c>
      <c r="F373" s="15" t="s">
        <v>2925</v>
      </c>
      <c r="G373" s="61" t="s">
        <v>177</v>
      </c>
      <c r="H373" s="4" t="s">
        <v>178</v>
      </c>
      <c r="I373" s="4" t="s">
        <v>2581</v>
      </c>
      <c r="J373" s="4" t="s">
        <v>877</v>
      </c>
      <c r="K373" s="6">
        <v>17426</v>
      </c>
      <c r="L373" s="6">
        <f>K373*1.25-K373</f>
        <v>4356.5</v>
      </c>
      <c r="M373" s="6">
        <f t="shared" si="39"/>
        <v>0.5</v>
      </c>
      <c r="N373" s="6">
        <v>21783</v>
      </c>
      <c r="O373" s="184" t="s">
        <v>2924</v>
      </c>
      <c r="P373" s="176" t="s">
        <v>2923</v>
      </c>
      <c r="Q373" s="21" t="s">
        <v>2922</v>
      </c>
      <c r="R373" t="s">
        <v>2921</v>
      </c>
      <c r="S373" s="178">
        <v>42541</v>
      </c>
      <c r="T373"/>
      <c r="U373" s="186" t="s">
        <v>1775</v>
      </c>
      <c r="V373" s="178" t="s">
        <v>2604</v>
      </c>
      <c r="W373" s="178">
        <v>42615</v>
      </c>
      <c r="X373" s="6">
        <v>17426</v>
      </c>
      <c r="Y373" s="6">
        <f t="shared" si="35"/>
        <v>0</v>
      </c>
    </row>
    <row r="374" spans="1:26" x14ac:dyDescent="0.25">
      <c r="A374" s="188" t="s">
        <v>2928</v>
      </c>
      <c r="B374" t="s">
        <v>18</v>
      </c>
      <c r="C374" s="61" t="s">
        <v>20</v>
      </c>
      <c r="D374" s="61" t="s">
        <v>2927</v>
      </c>
      <c r="E374" s="15" t="s">
        <v>2926</v>
      </c>
      <c r="F374" s="15" t="s">
        <v>2925</v>
      </c>
      <c r="G374" s="61" t="s">
        <v>72</v>
      </c>
      <c r="H374" s="4" t="s">
        <v>2609</v>
      </c>
      <c r="I374" s="4" t="s">
        <v>2581</v>
      </c>
      <c r="J374" s="4" t="s">
        <v>877</v>
      </c>
      <c r="K374" s="6">
        <v>117280</v>
      </c>
      <c r="L374" s="6">
        <f>K374*1.25-K374</f>
        <v>29320</v>
      </c>
      <c r="M374" s="6">
        <f t="shared" si="39"/>
        <v>0</v>
      </c>
      <c r="N374" s="6">
        <v>146600</v>
      </c>
      <c r="O374" s="184" t="s">
        <v>2924</v>
      </c>
      <c r="P374" s="176" t="s">
        <v>2923</v>
      </c>
      <c r="Q374" s="21" t="s">
        <v>2922</v>
      </c>
      <c r="R374" t="s">
        <v>2921</v>
      </c>
      <c r="S374" s="178">
        <v>42541</v>
      </c>
      <c r="T374" s="178">
        <v>42580</v>
      </c>
      <c r="U374" s="186" t="s">
        <v>1775</v>
      </c>
      <c r="V374" s="178" t="s">
        <v>2604</v>
      </c>
      <c r="W374" s="178">
        <v>42615</v>
      </c>
      <c r="X374" s="6">
        <v>164058</v>
      </c>
      <c r="Y374" s="6">
        <f t="shared" si="35"/>
        <v>-46778</v>
      </c>
      <c r="Z374" s="61"/>
    </row>
    <row r="375" spans="1:26" x14ac:dyDescent="0.25">
      <c r="A375" s="188" t="s">
        <v>3925</v>
      </c>
      <c r="B375" t="s">
        <v>18</v>
      </c>
      <c r="C375" t="s">
        <v>20</v>
      </c>
      <c r="D375" t="s">
        <v>3924</v>
      </c>
      <c r="E375" s="4" t="s">
        <v>3923</v>
      </c>
      <c r="F375" s="4" t="s">
        <v>3922</v>
      </c>
      <c r="G375" t="s">
        <v>117</v>
      </c>
      <c r="H375" s="4" t="s">
        <v>119</v>
      </c>
      <c r="I375" s="4" t="s">
        <v>1277</v>
      </c>
      <c r="J375" s="4" t="s">
        <v>882</v>
      </c>
      <c r="K375" s="6">
        <v>119968</v>
      </c>
      <c r="L375" s="6">
        <f>N375*0.2</f>
        <v>29992</v>
      </c>
      <c r="M375" s="6">
        <f t="shared" si="39"/>
        <v>0</v>
      </c>
      <c r="N375" s="6">
        <v>149960</v>
      </c>
      <c r="O375" s="184" t="s">
        <v>3921</v>
      </c>
      <c r="P375" s="176" t="s">
        <v>3920</v>
      </c>
      <c r="Q375" s="21" t="s">
        <v>3919</v>
      </c>
      <c r="R375" t="s">
        <v>3918</v>
      </c>
      <c r="S375" s="178">
        <v>42506</v>
      </c>
      <c r="U375" t="s">
        <v>1775</v>
      </c>
      <c r="V375" s="178" t="s">
        <v>2571</v>
      </c>
      <c r="W375" s="178">
        <v>42506</v>
      </c>
      <c r="X375" s="6">
        <v>119968</v>
      </c>
      <c r="Y375" s="6">
        <f t="shared" si="35"/>
        <v>0</v>
      </c>
      <c r="Z375" s="61"/>
    </row>
    <row r="376" spans="1:26" x14ac:dyDescent="0.25">
      <c r="A376" s="188" t="s">
        <v>3023</v>
      </c>
      <c r="B376" t="s">
        <v>18</v>
      </c>
      <c r="C376" s="61" t="s">
        <v>20</v>
      </c>
      <c r="D376" s="61" t="s">
        <v>2847</v>
      </c>
      <c r="E376" s="61" t="s">
        <v>3022</v>
      </c>
      <c r="F376" s="61" t="s">
        <v>3021</v>
      </c>
      <c r="G376" s="61" t="s">
        <v>177</v>
      </c>
      <c r="H376" s="15" t="s">
        <v>178</v>
      </c>
      <c r="I376" s="15" t="s">
        <v>3019</v>
      </c>
      <c r="J376" s="15" t="s">
        <v>896</v>
      </c>
      <c r="K376" s="183">
        <v>27000</v>
      </c>
      <c r="L376" s="183">
        <f>N376*0.1</f>
        <v>3000</v>
      </c>
      <c r="M376" s="183">
        <f t="shared" si="39"/>
        <v>0</v>
      </c>
      <c r="N376" s="183">
        <v>30000</v>
      </c>
      <c r="O376" s="189" t="s">
        <v>3018</v>
      </c>
      <c r="P376" s="188" t="s">
        <v>3017</v>
      </c>
      <c r="Q376" s="61" t="s">
        <v>3016</v>
      </c>
      <c r="R376" s="61" t="s">
        <v>3015</v>
      </c>
      <c r="S376" s="185">
        <v>42598</v>
      </c>
      <c r="T376" s="61"/>
      <c r="U376" s="61" t="s">
        <v>1775</v>
      </c>
      <c r="V376" s="185" t="s">
        <v>2571</v>
      </c>
      <c r="W376" s="185">
        <v>42598</v>
      </c>
      <c r="X376" s="183">
        <v>27000</v>
      </c>
      <c r="Y376" s="183">
        <f t="shared" si="35"/>
        <v>0</v>
      </c>
      <c r="Z376" s="61"/>
    </row>
    <row r="377" spans="1:26" x14ac:dyDescent="0.25">
      <c r="A377" s="188" t="s">
        <v>3023</v>
      </c>
      <c r="B377" t="s">
        <v>18</v>
      </c>
      <c r="C377" s="61" t="s">
        <v>20</v>
      </c>
      <c r="D377" s="61" t="s">
        <v>2847</v>
      </c>
      <c r="E377" s="61" t="s">
        <v>3022</v>
      </c>
      <c r="F377" s="61" t="s">
        <v>3021</v>
      </c>
      <c r="G377" s="61" t="s">
        <v>72</v>
      </c>
      <c r="H377" s="15" t="s">
        <v>3020</v>
      </c>
      <c r="I377" s="15" t="s">
        <v>3019</v>
      </c>
      <c r="J377" s="15" t="s">
        <v>896</v>
      </c>
      <c r="K377" s="183">
        <v>243000</v>
      </c>
      <c r="L377" s="183">
        <f>N377*0.1</f>
        <v>27000</v>
      </c>
      <c r="M377" s="183">
        <f t="shared" si="39"/>
        <v>0</v>
      </c>
      <c r="N377" s="183">
        <v>270000</v>
      </c>
      <c r="O377" s="189" t="s">
        <v>3018</v>
      </c>
      <c r="P377" s="188" t="s">
        <v>3017</v>
      </c>
      <c r="Q377" s="61" t="s">
        <v>3016</v>
      </c>
      <c r="R377" s="61" t="s">
        <v>3015</v>
      </c>
      <c r="S377" s="185">
        <v>42598</v>
      </c>
      <c r="T377" s="61"/>
      <c r="U377" s="61" t="s">
        <v>1775</v>
      </c>
      <c r="V377" s="185" t="s">
        <v>2571</v>
      </c>
      <c r="W377" s="185">
        <v>42598</v>
      </c>
      <c r="X377" s="183">
        <v>243000</v>
      </c>
      <c r="Y377" s="183">
        <f t="shared" si="35"/>
        <v>0</v>
      </c>
      <c r="Z377" s="61"/>
    </row>
    <row r="378" spans="1:26" ht="75" x14ac:dyDescent="0.25">
      <c r="A378" s="176" t="s">
        <v>3339</v>
      </c>
      <c r="B378" t="s">
        <v>18</v>
      </c>
      <c r="C378" t="s">
        <v>20</v>
      </c>
      <c r="D378" t="s">
        <v>19</v>
      </c>
      <c r="E378" t="s">
        <v>3338</v>
      </c>
      <c r="F378" t="s">
        <v>3337</v>
      </c>
      <c r="G378" t="s">
        <v>72</v>
      </c>
      <c r="H378" s="4" t="s">
        <v>3336</v>
      </c>
      <c r="I378" t="s">
        <v>3316</v>
      </c>
      <c r="J378" t="s">
        <v>3315</v>
      </c>
      <c r="K378" s="6">
        <v>200000</v>
      </c>
      <c r="L378" s="6">
        <f>K378*1.25-K378</f>
        <v>50000</v>
      </c>
      <c r="M378" s="6">
        <f t="shared" si="39"/>
        <v>1034000</v>
      </c>
      <c r="N378" s="6">
        <v>1284000</v>
      </c>
      <c r="O378" s="184" t="s">
        <v>3335</v>
      </c>
      <c r="P378" s="176" t="s">
        <v>3334</v>
      </c>
      <c r="Q378" t="s">
        <v>3333</v>
      </c>
      <c r="R378" s="4" t="s">
        <v>3332</v>
      </c>
      <c r="S378" s="178">
        <v>42436</v>
      </c>
      <c r="U378" t="s">
        <v>2301</v>
      </c>
      <c r="V378" s="178" t="s">
        <v>2604</v>
      </c>
      <c r="W378" s="178">
        <v>42571</v>
      </c>
      <c r="X378" s="6">
        <v>200000</v>
      </c>
      <c r="Y378" s="6">
        <f t="shared" si="35"/>
        <v>0</v>
      </c>
    </row>
    <row r="379" spans="1:26" ht="30" x14ac:dyDescent="0.25">
      <c r="A379" s="176" t="s">
        <v>3782</v>
      </c>
      <c r="B379" t="s">
        <v>18</v>
      </c>
      <c r="C379" s="61" t="s">
        <v>20</v>
      </c>
      <c r="D379" s="61" t="s">
        <v>2847</v>
      </c>
      <c r="E379" s="15" t="s">
        <v>3422</v>
      </c>
      <c r="F379" s="61" t="s">
        <v>3781</v>
      </c>
      <c r="G379" s="61" t="s">
        <v>72</v>
      </c>
      <c r="H379" s="4" t="s">
        <v>3780</v>
      </c>
      <c r="I379" s="4" t="s">
        <v>2781</v>
      </c>
      <c r="J379" s="4" t="s">
        <v>2652</v>
      </c>
      <c r="K379" s="6">
        <v>172400</v>
      </c>
      <c r="L379" s="6">
        <f>K379*1.25-K379</f>
        <v>43100</v>
      </c>
      <c r="M379" s="6">
        <f t="shared" si="39"/>
        <v>146590</v>
      </c>
      <c r="N379" s="6">
        <v>362090</v>
      </c>
      <c r="O379" s="184" t="s">
        <v>3779</v>
      </c>
      <c r="P379" s="176" t="s">
        <v>3778</v>
      </c>
      <c r="Q379" s="21" t="s">
        <v>3777</v>
      </c>
      <c r="R379" t="s">
        <v>3776</v>
      </c>
      <c r="S379" s="178">
        <v>42530</v>
      </c>
      <c r="T379" s="178">
        <v>42580</v>
      </c>
      <c r="U379" s="186" t="s">
        <v>1775</v>
      </c>
      <c r="V379" s="178" t="s">
        <v>2571</v>
      </c>
      <c r="W379" s="178">
        <v>42530</v>
      </c>
      <c r="X379" s="6">
        <v>172400</v>
      </c>
      <c r="Y379" s="6">
        <f t="shared" si="35"/>
        <v>0</v>
      </c>
    </row>
    <row r="380" spans="1:26" x14ac:dyDescent="0.25">
      <c r="A380" s="176" t="s">
        <v>258</v>
      </c>
      <c r="B380" t="s">
        <v>90</v>
      </c>
      <c r="C380" s="61" t="s">
        <v>20</v>
      </c>
      <c r="D380" s="61" t="s">
        <v>259</v>
      </c>
      <c r="E380" s="61" t="s">
        <v>254</v>
      </c>
      <c r="F380" s="15" t="s">
        <v>3722</v>
      </c>
      <c r="G380" s="61" t="s">
        <v>177</v>
      </c>
      <c r="H380" s="4" t="s">
        <v>178</v>
      </c>
      <c r="I380" s="4" t="s">
        <v>1275</v>
      </c>
      <c r="J380" s="4" t="s">
        <v>873</v>
      </c>
      <c r="K380" s="6">
        <v>1942400</v>
      </c>
      <c r="L380" s="6">
        <f>K380*1.25-K380</f>
        <v>485600</v>
      </c>
      <c r="M380" s="6">
        <f t="shared" si="39"/>
        <v>0</v>
      </c>
      <c r="N380" s="6">
        <v>2428000</v>
      </c>
      <c r="O380" s="184" t="s">
        <v>3721</v>
      </c>
      <c r="P380" s="176" t="s">
        <v>3720</v>
      </c>
      <c r="Q380" s="21" t="s">
        <v>3723</v>
      </c>
      <c r="R380" t="s">
        <v>3718</v>
      </c>
      <c r="S380" s="178">
        <v>42531</v>
      </c>
      <c r="U380" s="186" t="s">
        <v>1775</v>
      </c>
      <c r="V380" s="178" t="s">
        <v>2571</v>
      </c>
      <c r="W380" s="178">
        <v>42531</v>
      </c>
      <c r="X380" s="6">
        <v>1942400</v>
      </c>
      <c r="Y380" s="6">
        <f t="shared" si="35"/>
        <v>0</v>
      </c>
    </row>
    <row r="381" spans="1:26" x14ac:dyDescent="0.25">
      <c r="A381" s="176" t="s">
        <v>258</v>
      </c>
      <c r="B381" t="s">
        <v>90</v>
      </c>
      <c r="C381" s="61" t="s">
        <v>20</v>
      </c>
      <c r="D381" s="61" t="s">
        <v>259</v>
      </c>
      <c r="E381" s="61" t="s">
        <v>254</v>
      </c>
      <c r="F381" s="15" t="s">
        <v>3722</v>
      </c>
      <c r="G381" s="61" t="s">
        <v>72</v>
      </c>
      <c r="H381" s="4" t="s">
        <v>1195</v>
      </c>
      <c r="I381" s="4" t="s">
        <v>1275</v>
      </c>
      <c r="J381" s="4" t="s">
        <v>873</v>
      </c>
      <c r="K381" s="6">
        <f>19418400-K380</f>
        <v>17476000</v>
      </c>
      <c r="L381" s="6">
        <f>K381*1.25-K381</f>
        <v>4369000</v>
      </c>
      <c r="M381" s="6">
        <f t="shared" si="39"/>
        <v>7000</v>
      </c>
      <c r="N381" s="6">
        <f>24280000-N380</f>
        <v>21852000</v>
      </c>
      <c r="O381" s="184" t="s">
        <v>3721</v>
      </c>
      <c r="P381" s="176" t="s">
        <v>3720</v>
      </c>
      <c r="Q381" s="21" t="s">
        <v>3719</v>
      </c>
      <c r="R381" t="s">
        <v>3718</v>
      </c>
      <c r="S381" s="178">
        <v>42531</v>
      </c>
      <c r="U381" s="186" t="s">
        <v>1775</v>
      </c>
      <c r="V381" s="178" t="s">
        <v>2571</v>
      </c>
      <c r="W381" s="178">
        <v>42531</v>
      </c>
      <c r="X381" s="6">
        <v>17476000</v>
      </c>
      <c r="Y381" s="6">
        <f t="shared" si="35"/>
        <v>0</v>
      </c>
    </row>
    <row r="382" spans="1:26" x14ac:dyDescent="0.25">
      <c r="A382" s="176" t="s">
        <v>258</v>
      </c>
      <c r="B382" t="s">
        <v>90</v>
      </c>
      <c r="C382" t="s">
        <v>20</v>
      </c>
      <c r="D382" t="s">
        <v>259</v>
      </c>
      <c r="E382" t="s">
        <v>3402</v>
      </c>
      <c r="F382" t="s">
        <v>3401</v>
      </c>
      <c r="G382" t="s">
        <v>72</v>
      </c>
      <c r="H382" s="4" t="s">
        <v>123</v>
      </c>
      <c r="I382" t="s">
        <v>1275</v>
      </c>
      <c r="J382" t="s">
        <v>873</v>
      </c>
      <c r="K382" s="6">
        <v>490566</v>
      </c>
      <c r="L382" s="6">
        <f>N382*0.2</f>
        <v>122641.60000000001</v>
      </c>
      <c r="M382" s="6">
        <f t="shared" si="39"/>
        <v>0.40000000002328306</v>
      </c>
      <c r="N382" s="6">
        <v>613208</v>
      </c>
      <c r="O382" s="184" t="s">
        <v>3400</v>
      </c>
      <c r="P382" s="176" t="s">
        <v>3399</v>
      </c>
      <c r="Q382" t="s">
        <v>3398</v>
      </c>
      <c r="R382" t="s">
        <v>3397</v>
      </c>
      <c r="S382" s="178">
        <v>42383</v>
      </c>
      <c r="T382" s="178">
        <v>42433</v>
      </c>
      <c r="U382" t="s">
        <v>2301</v>
      </c>
      <c r="V382" s="178" t="s">
        <v>2604</v>
      </c>
      <c r="W382" s="178">
        <v>42566</v>
      </c>
      <c r="X382" s="6">
        <v>496800</v>
      </c>
      <c r="Y382" s="6">
        <f t="shared" si="35"/>
        <v>-6234</v>
      </c>
    </row>
    <row r="383" spans="1:26" x14ac:dyDescent="0.25">
      <c r="A383" s="176" t="s">
        <v>258</v>
      </c>
      <c r="B383" t="s">
        <v>90</v>
      </c>
      <c r="C383" t="s">
        <v>20</v>
      </c>
      <c r="D383" t="s">
        <v>259</v>
      </c>
      <c r="E383" t="s">
        <v>3402</v>
      </c>
      <c r="F383" t="s">
        <v>3401</v>
      </c>
      <c r="G383" t="s">
        <v>177</v>
      </c>
      <c r="H383" s="4" t="s">
        <v>178</v>
      </c>
      <c r="I383" t="s">
        <v>1275</v>
      </c>
      <c r="J383" t="s">
        <v>873</v>
      </c>
      <c r="K383" s="6">
        <v>55200</v>
      </c>
      <c r="L383" s="6">
        <f>N383*0.2</f>
        <v>13800</v>
      </c>
      <c r="M383" s="6">
        <f t="shared" si="39"/>
        <v>0</v>
      </c>
      <c r="N383" s="6">
        <v>69000</v>
      </c>
      <c r="O383" s="184" t="s">
        <v>3400</v>
      </c>
      <c r="P383" s="176" t="s">
        <v>3399</v>
      </c>
      <c r="Q383" t="s">
        <v>3398</v>
      </c>
      <c r="R383" t="s">
        <v>3397</v>
      </c>
      <c r="S383" s="178">
        <v>42383</v>
      </c>
      <c r="T383" s="178"/>
      <c r="U383" t="s">
        <v>2301</v>
      </c>
      <c r="V383" s="178" t="s">
        <v>2604</v>
      </c>
      <c r="W383" s="178">
        <v>42566</v>
      </c>
      <c r="X383" s="6">
        <v>55200</v>
      </c>
      <c r="Y383" s="6">
        <f t="shared" si="35"/>
        <v>0</v>
      </c>
    </row>
    <row r="384" spans="1:26" x14ac:dyDescent="0.25">
      <c r="A384" s="176" t="s">
        <v>3409</v>
      </c>
      <c r="B384" t="s">
        <v>18</v>
      </c>
      <c r="C384" t="s">
        <v>181</v>
      </c>
      <c r="D384" t="s">
        <v>181</v>
      </c>
      <c r="E384" s="15" t="s">
        <v>3408</v>
      </c>
      <c r="F384" s="15" t="s">
        <v>3407</v>
      </c>
      <c r="G384" t="s">
        <v>117</v>
      </c>
      <c r="H384" s="4" t="s">
        <v>119</v>
      </c>
      <c r="I384" s="4" t="s">
        <v>1276</v>
      </c>
      <c r="J384" s="4" t="s">
        <v>871</v>
      </c>
      <c r="K384" s="6">
        <v>26991</v>
      </c>
      <c r="L384" s="6">
        <f>N384*0.1</f>
        <v>2999</v>
      </c>
      <c r="M384" s="6">
        <f t="shared" si="39"/>
        <v>0</v>
      </c>
      <c r="N384" s="6">
        <v>29990</v>
      </c>
      <c r="O384" s="184" t="s">
        <v>3406</v>
      </c>
      <c r="P384" s="176" t="s">
        <v>3405</v>
      </c>
      <c r="Q384" s="21" t="s">
        <v>3404</v>
      </c>
      <c r="R384" t="s">
        <v>3403</v>
      </c>
      <c r="S384" s="178">
        <v>42565</v>
      </c>
      <c r="U384" t="s">
        <v>1775</v>
      </c>
      <c r="V384" s="178" t="s">
        <v>2571</v>
      </c>
      <c r="W384" s="178">
        <v>42565</v>
      </c>
      <c r="X384" s="6">
        <v>26991</v>
      </c>
      <c r="Y384" s="6">
        <f t="shared" si="35"/>
        <v>0</v>
      </c>
    </row>
    <row r="385" spans="1:26" x14ac:dyDescent="0.25">
      <c r="A385" s="176" t="s">
        <v>578</v>
      </c>
      <c r="B385" t="s">
        <v>18</v>
      </c>
      <c r="C385" t="s">
        <v>181</v>
      </c>
      <c r="D385" t="s">
        <v>579</v>
      </c>
      <c r="E385" t="s">
        <v>580</v>
      </c>
      <c r="F385" t="s">
        <v>581</v>
      </c>
      <c r="G385" t="s">
        <v>72</v>
      </c>
      <c r="H385" s="4" t="s">
        <v>1901</v>
      </c>
      <c r="I385" t="s">
        <v>2599</v>
      </c>
      <c r="J385" s="4" t="s">
        <v>881</v>
      </c>
      <c r="K385" s="6">
        <v>250000</v>
      </c>
      <c r="L385" s="6">
        <v>0</v>
      </c>
      <c r="M385" s="6">
        <f t="shared" si="39"/>
        <v>295600</v>
      </c>
      <c r="N385" s="6">
        <v>545600</v>
      </c>
      <c r="O385" s="184" t="s">
        <v>4315</v>
      </c>
      <c r="P385" s="176" t="s">
        <v>4314</v>
      </c>
      <c r="Q385" t="s">
        <v>583</v>
      </c>
      <c r="R385" t="s">
        <v>4313</v>
      </c>
      <c r="S385" s="178">
        <v>42396</v>
      </c>
      <c r="U385" t="s">
        <v>1775</v>
      </c>
      <c r="V385" s="178" t="s">
        <v>2571</v>
      </c>
      <c r="W385" s="178">
        <v>42396</v>
      </c>
      <c r="X385" s="6">
        <v>250000</v>
      </c>
      <c r="Y385" s="6">
        <f t="shared" si="35"/>
        <v>0</v>
      </c>
    </row>
    <row r="386" spans="1:26" x14ac:dyDescent="0.25">
      <c r="A386" s="176" t="s">
        <v>4044</v>
      </c>
      <c r="B386" t="s">
        <v>18</v>
      </c>
      <c r="C386" t="s">
        <v>181</v>
      </c>
      <c r="D386" t="s">
        <v>4043</v>
      </c>
      <c r="E386" t="s">
        <v>4042</v>
      </c>
      <c r="F386" t="s">
        <v>4041</v>
      </c>
      <c r="G386" t="s">
        <v>177</v>
      </c>
      <c r="H386" s="4" t="s">
        <v>178</v>
      </c>
      <c r="I386" t="s">
        <v>83</v>
      </c>
      <c r="J386" t="s">
        <v>877</v>
      </c>
      <c r="K386" s="6">
        <v>0</v>
      </c>
      <c r="L386" s="6">
        <v>0</v>
      </c>
      <c r="M386" s="6">
        <f t="shared" si="39"/>
        <v>100000</v>
      </c>
      <c r="N386" s="6">
        <v>100000</v>
      </c>
      <c r="O386" s="184" t="s">
        <v>4040</v>
      </c>
      <c r="P386" s="176" t="s">
        <v>4039</v>
      </c>
      <c r="Q386" t="s">
        <v>4038</v>
      </c>
      <c r="R386" t="s">
        <v>4037</v>
      </c>
      <c r="S386" s="178">
        <v>42396</v>
      </c>
      <c r="U386" t="s">
        <v>1775</v>
      </c>
      <c r="V386" s="178" t="s">
        <v>2571</v>
      </c>
      <c r="W386" s="178">
        <v>42384</v>
      </c>
      <c r="X386" s="6">
        <v>0</v>
      </c>
      <c r="Y386" s="6">
        <f t="shared" si="35"/>
        <v>0</v>
      </c>
    </row>
    <row r="387" spans="1:26" x14ac:dyDescent="0.25">
      <c r="A387" s="176" t="s">
        <v>4044</v>
      </c>
      <c r="B387" t="s">
        <v>18</v>
      </c>
      <c r="C387" t="s">
        <v>181</v>
      </c>
      <c r="D387" t="s">
        <v>4043</v>
      </c>
      <c r="E387" t="s">
        <v>4042</v>
      </c>
      <c r="F387" t="s">
        <v>4041</v>
      </c>
      <c r="G387" t="s">
        <v>72</v>
      </c>
      <c r="H387" s="4" t="s">
        <v>123</v>
      </c>
      <c r="I387" t="s">
        <v>2581</v>
      </c>
      <c r="J387" t="s">
        <v>877</v>
      </c>
      <c r="K387" s="6">
        <v>1448748</v>
      </c>
      <c r="L387" s="6">
        <f t="shared" ref="L387:L392" si="40">N387*0.2</f>
        <v>389406.2</v>
      </c>
      <c r="M387" s="6">
        <f t="shared" si="39"/>
        <v>108876.80000000005</v>
      </c>
      <c r="N387" s="6">
        <v>1947031</v>
      </c>
      <c r="O387" s="184" t="s">
        <v>4040</v>
      </c>
      <c r="P387" s="176" t="s">
        <v>4039</v>
      </c>
      <c r="Q387" t="s">
        <v>4038</v>
      </c>
      <c r="R387" t="s">
        <v>4037</v>
      </c>
      <c r="S387" s="178">
        <v>42396</v>
      </c>
      <c r="U387" t="s">
        <v>1775</v>
      </c>
      <c r="V387" s="178" t="s">
        <v>2604</v>
      </c>
      <c r="W387" s="178">
        <v>42475</v>
      </c>
      <c r="X387" s="6">
        <v>1500000</v>
      </c>
      <c r="Y387" s="6">
        <f t="shared" si="35"/>
        <v>-51252</v>
      </c>
    </row>
    <row r="388" spans="1:26" x14ac:dyDescent="0.25">
      <c r="A388" s="176" t="s">
        <v>3180</v>
      </c>
      <c r="B388" t="s">
        <v>18</v>
      </c>
      <c r="C388" t="s">
        <v>181</v>
      </c>
      <c r="D388" t="s">
        <v>181</v>
      </c>
      <c r="E388" t="s">
        <v>3179</v>
      </c>
      <c r="F388" t="s">
        <v>3178</v>
      </c>
      <c r="G388" t="s">
        <v>177</v>
      </c>
      <c r="H388" s="4" t="s">
        <v>178</v>
      </c>
      <c r="I388" t="s">
        <v>2581</v>
      </c>
      <c r="J388" t="s">
        <v>877</v>
      </c>
      <c r="K388" s="6">
        <v>96000</v>
      </c>
      <c r="L388" s="6">
        <f t="shared" si="40"/>
        <v>24000</v>
      </c>
      <c r="M388" s="6">
        <f t="shared" si="39"/>
        <v>0</v>
      </c>
      <c r="N388" s="6">
        <v>120000</v>
      </c>
      <c r="O388" s="184" t="s">
        <v>3177</v>
      </c>
      <c r="P388" s="176" t="s">
        <v>3176</v>
      </c>
      <c r="Q388" t="s">
        <v>3175</v>
      </c>
      <c r="R388" t="s">
        <v>3174</v>
      </c>
      <c r="S388" s="178">
        <v>42442</v>
      </c>
      <c r="U388" t="s">
        <v>2301</v>
      </c>
      <c r="V388" s="178" t="s">
        <v>2604</v>
      </c>
      <c r="W388" s="178">
        <v>42586</v>
      </c>
      <c r="X388" s="6">
        <v>96000</v>
      </c>
      <c r="Y388" s="6">
        <f t="shared" si="35"/>
        <v>0</v>
      </c>
    </row>
    <row r="389" spans="1:26" x14ac:dyDescent="0.25">
      <c r="A389" s="176" t="s">
        <v>3180</v>
      </c>
      <c r="B389" t="s">
        <v>18</v>
      </c>
      <c r="C389" t="s">
        <v>181</v>
      </c>
      <c r="D389" t="s">
        <v>181</v>
      </c>
      <c r="E389" t="s">
        <v>3179</v>
      </c>
      <c r="F389" t="s">
        <v>3178</v>
      </c>
      <c r="G389" t="s">
        <v>72</v>
      </c>
      <c r="H389" s="4" t="s">
        <v>75</v>
      </c>
      <c r="I389" t="s">
        <v>2581</v>
      </c>
      <c r="J389" t="s">
        <v>877</v>
      </c>
      <c r="K389" s="6">
        <v>883027</v>
      </c>
      <c r="L389" s="6">
        <f t="shared" si="40"/>
        <v>220757</v>
      </c>
      <c r="M389" s="6">
        <f t="shared" si="39"/>
        <v>1</v>
      </c>
      <c r="N389" s="6">
        <v>1103785</v>
      </c>
      <c r="O389" s="184" t="s">
        <v>3177</v>
      </c>
      <c r="P389" s="176" t="s">
        <v>3176</v>
      </c>
      <c r="Q389" t="s">
        <v>3175</v>
      </c>
      <c r="R389" t="s">
        <v>3174</v>
      </c>
      <c r="S389" s="178">
        <v>42442</v>
      </c>
      <c r="U389" t="s">
        <v>2301</v>
      </c>
      <c r="V389" s="178" t="s">
        <v>2604</v>
      </c>
      <c r="W389" s="178">
        <v>42586</v>
      </c>
      <c r="X389" s="6">
        <v>1184000</v>
      </c>
      <c r="Y389" s="6">
        <f t="shared" si="35"/>
        <v>-300973</v>
      </c>
    </row>
    <row r="390" spans="1:26" x14ac:dyDescent="0.25">
      <c r="A390" s="176" t="s">
        <v>4276</v>
      </c>
      <c r="B390" t="s">
        <v>18</v>
      </c>
      <c r="C390" t="s">
        <v>181</v>
      </c>
      <c r="D390" t="s">
        <v>4275</v>
      </c>
      <c r="E390" t="s">
        <v>4274</v>
      </c>
      <c r="F390" t="s">
        <v>4273</v>
      </c>
      <c r="G390" t="s">
        <v>212</v>
      </c>
      <c r="H390" s="4" t="s">
        <v>213</v>
      </c>
      <c r="I390" t="s">
        <v>1277</v>
      </c>
      <c r="J390" t="s">
        <v>882</v>
      </c>
      <c r="K390" s="6">
        <v>115034</v>
      </c>
      <c r="L390" s="6">
        <f t="shared" si="40"/>
        <v>28758.400000000001</v>
      </c>
      <c r="M390" s="6">
        <f t="shared" si="39"/>
        <v>-0.39999999999417923</v>
      </c>
      <c r="N390" s="6">
        <v>143792</v>
      </c>
      <c r="O390" s="184" t="s">
        <v>4272</v>
      </c>
      <c r="P390" s="176" t="s">
        <v>4271</v>
      </c>
      <c r="Q390" t="s">
        <v>4270</v>
      </c>
      <c r="R390" t="s">
        <v>4269</v>
      </c>
      <c r="S390" s="178">
        <v>42429</v>
      </c>
      <c r="U390" t="s">
        <v>1775</v>
      </c>
      <c r="V390" s="178" t="s">
        <v>2571</v>
      </c>
      <c r="W390" s="178">
        <v>42429</v>
      </c>
      <c r="X390" s="6">
        <v>115034</v>
      </c>
      <c r="Y390" s="6">
        <f t="shared" si="35"/>
        <v>0</v>
      </c>
    </row>
    <row r="391" spans="1:26" x14ac:dyDescent="0.25">
      <c r="A391" s="176" t="s">
        <v>4217</v>
      </c>
      <c r="B391" t="s">
        <v>18</v>
      </c>
      <c r="C391" t="s">
        <v>181</v>
      </c>
      <c r="D391" t="s">
        <v>4216</v>
      </c>
      <c r="E391" t="s">
        <v>4215</v>
      </c>
      <c r="F391" t="s">
        <v>4214</v>
      </c>
      <c r="G391" t="s">
        <v>177</v>
      </c>
      <c r="H391" s="4" t="s">
        <v>178</v>
      </c>
      <c r="I391" s="4" t="s">
        <v>2653</v>
      </c>
      <c r="J391" t="s">
        <v>893</v>
      </c>
      <c r="K391" s="6">
        <v>16800</v>
      </c>
      <c r="L391" s="6">
        <f t="shared" si="40"/>
        <v>4200</v>
      </c>
      <c r="M391" s="6">
        <f t="shared" si="39"/>
        <v>0</v>
      </c>
      <c r="N391" s="6">
        <v>21000</v>
      </c>
      <c r="O391" s="184" t="s">
        <v>4213</v>
      </c>
      <c r="P391" s="176" t="s">
        <v>4212</v>
      </c>
      <c r="Q391" s="61" t="s">
        <v>4218</v>
      </c>
      <c r="R391" t="s">
        <v>4210</v>
      </c>
      <c r="S391" s="178">
        <v>42436</v>
      </c>
      <c r="U391" t="s">
        <v>1775</v>
      </c>
      <c r="V391" s="178" t="s">
        <v>2571</v>
      </c>
      <c r="W391" s="178">
        <v>42436</v>
      </c>
      <c r="X391" s="6">
        <v>16800</v>
      </c>
      <c r="Y391" s="6">
        <f t="shared" si="35"/>
        <v>0</v>
      </c>
    </row>
    <row r="392" spans="1:26" s="61" customFormat="1" x14ac:dyDescent="0.25">
      <c r="A392" s="176" t="s">
        <v>4217</v>
      </c>
      <c r="B392" t="s">
        <v>18</v>
      </c>
      <c r="C392" t="s">
        <v>181</v>
      </c>
      <c r="D392" t="s">
        <v>4216</v>
      </c>
      <c r="E392" t="s">
        <v>4215</v>
      </c>
      <c r="F392" t="s">
        <v>4214</v>
      </c>
      <c r="G392" t="s">
        <v>72</v>
      </c>
      <c r="H392" s="4" t="s">
        <v>1901</v>
      </c>
      <c r="I392" s="4" t="s">
        <v>2653</v>
      </c>
      <c r="J392" t="s">
        <v>893</v>
      </c>
      <c r="K392" s="6">
        <v>247600</v>
      </c>
      <c r="L392" s="6">
        <f t="shared" si="40"/>
        <v>61900</v>
      </c>
      <c r="M392" s="6">
        <f t="shared" si="39"/>
        <v>0</v>
      </c>
      <c r="N392" s="6">
        <v>309500</v>
      </c>
      <c r="O392" s="184" t="s">
        <v>4213</v>
      </c>
      <c r="P392" s="176" t="s">
        <v>4212</v>
      </c>
      <c r="Q392" t="s">
        <v>4211</v>
      </c>
      <c r="R392" t="s">
        <v>4210</v>
      </c>
      <c r="S392" s="178">
        <v>42436</v>
      </c>
      <c r="T392" s="178">
        <v>42482</v>
      </c>
      <c r="U392" t="s">
        <v>1775</v>
      </c>
      <c r="V392" s="178" t="s">
        <v>2571</v>
      </c>
      <c r="W392" s="178">
        <v>42436</v>
      </c>
      <c r="X392" s="6">
        <v>247600</v>
      </c>
      <c r="Y392" s="6">
        <f t="shared" si="35"/>
        <v>0</v>
      </c>
      <c r="Z392"/>
    </row>
    <row r="393" spans="1:26" x14ac:dyDescent="0.25">
      <c r="A393" s="176" t="s">
        <v>3555</v>
      </c>
      <c r="B393" t="s">
        <v>18</v>
      </c>
      <c r="C393" s="61" t="s">
        <v>181</v>
      </c>
      <c r="D393" s="61" t="s">
        <v>181</v>
      </c>
      <c r="E393" s="15" t="s">
        <v>3554</v>
      </c>
      <c r="F393" s="15" t="s">
        <v>3553</v>
      </c>
      <c r="G393" s="61" t="s">
        <v>177</v>
      </c>
      <c r="H393" s="4" t="s">
        <v>178</v>
      </c>
      <c r="I393" s="4" t="s">
        <v>2653</v>
      </c>
      <c r="J393" s="4" t="s">
        <v>2652</v>
      </c>
      <c r="K393" s="6">
        <v>32000</v>
      </c>
      <c r="L393" s="6">
        <f>K393*1.25-K393</f>
        <v>8000</v>
      </c>
      <c r="M393" s="6">
        <f t="shared" si="39"/>
        <v>0</v>
      </c>
      <c r="N393" s="6">
        <v>40000</v>
      </c>
      <c r="O393" s="184" t="s">
        <v>3552</v>
      </c>
      <c r="P393" s="176" t="s">
        <v>3551</v>
      </c>
      <c r="Q393" s="21" t="s">
        <v>3556</v>
      </c>
      <c r="R393" t="s">
        <v>3549</v>
      </c>
      <c r="S393" s="178">
        <v>42548</v>
      </c>
      <c r="U393" s="186" t="s">
        <v>1775</v>
      </c>
      <c r="V393" s="178" t="s">
        <v>2571</v>
      </c>
      <c r="W393" s="178">
        <v>42548</v>
      </c>
      <c r="X393" s="6">
        <v>32000</v>
      </c>
      <c r="Y393" s="6">
        <f t="shared" si="35"/>
        <v>0</v>
      </c>
    </row>
    <row r="394" spans="1:26" s="61" customFormat="1" x14ac:dyDescent="0.25">
      <c r="A394" s="176" t="s">
        <v>3555</v>
      </c>
      <c r="B394" t="s">
        <v>18</v>
      </c>
      <c r="C394" s="61" t="s">
        <v>181</v>
      </c>
      <c r="D394" s="61" t="s">
        <v>181</v>
      </c>
      <c r="E394" s="15" t="s">
        <v>3554</v>
      </c>
      <c r="F394" s="15" t="s">
        <v>3553</v>
      </c>
      <c r="G394" s="61" t="s">
        <v>72</v>
      </c>
      <c r="H394" s="4" t="s">
        <v>1901</v>
      </c>
      <c r="I394" s="4" t="s">
        <v>2653</v>
      </c>
      <c r="J394" s="4" t="s">
        <v>2652</v>
      </c>
      <c r="K394" s="6">
        <v>326840</v>
      </c>
      <c r="L394" s="6">
        <f>K394*1.25-K394</f>
        <v>81710</v>
      </c>
      <c r="M394" s="6">
        <f t="shared" si="39"/>
        <v>0</v>
      </c>
      <c r="N394" s="6">
        <v>408550</v>
      </c>
      <c r="O394" s="184" t="s">
        <v>3552</v>
      </c>
      <c r="P394" s="176" t="s">
        <v>3551</v>
      </c>
      <c r="Q394" s="21" t="s">
        <v>3550</v>
      </c>
      <c r="R394" t="s">
        <v>3549</v>
      </c>
      <c r="S394" s="178">
        <v>42548</v>
      </c>
      <c r="T394" s="178">
        <v>42580</v>
      </c>
      <c r="U394" s="186" t="s">
        <v>1775</v>
      </c>
      <c r="V394" s="178" t="s">
        <v>2571</v>
      </c>
      <c r="W394" s="178">
        <v>42548</v>
      </c>
      <c r="X394" s="6">
        <v>326840</v>
      </c>
      <c r="Y394" s="6">
        <f t="shared" si="35"/>
        <v>0</v>
      </c>
      <c r="Z394"/>
    </row>
    <row r="395" spans="1:26" s="61" customFormat="1" x14ac:dyDescent="0.25">
      <c r="A395" s="195" t="s">
        <v>3120</v>
      </c>
      <c r="B395" t="s">
        <v>18</v>
      </c>
      <c r="C395" s="192" t="s">
        <v>181</v>
      </c>
      <c r="D395" s="192" t="s">
        <v>571</v>
      </c>
      <c r="E395" s="192" t="s">
        <v>41</v>
      </c>
      <c r="F395" s="192" t="s">
        <v>3119</v>
      </c>
      <c r="G395" s="192" t="s">
        <v>72</v>
      </c>
      <c r="H395" s="193" t="s">
        <v>3118</v>
      </c>
      <c r="I395" s="192" t="s">
        <v>2653</v>
      </c>
      <c r="J395" s="192" t="s">
        <v>881</v>
      </c>
      <c r="K395" s="197">
        <v>140000</v>
      </c>
      <c r="L395" s="197">
        <f>K395*1.25-K395</f>
        <v>35000</v>
      </c>
      <c r="M395" s="197">
        <f t="shared" si="39"/>
        <v>79651</v>
      </c>
      <c r="N395" s="197">
        <v>254651</v>
      </c>
      <c r="O395" s="196" t="s">
        <v>3117</v>
      </c>
      <c r="P395" s="195" t="s">
        <v>3116</v>
      </c>
      <c r="Q395" s="192" t="s">
        <v>3115</v>
      </c>
      <c r="R395" s="192" t="s">
        <v>3114</v>
      </c>
      <c r="S395" s="198">
        <v>42586</v>
      </c>
      <c r="T395" s="192"/>
      <c r="U395" s="192" t="s">
        <v>1775</v>
      </c>
      <c r="V395" s="198" t="s">
        <v>2571</v>
      </c>
      <c r="W395" s="198">
        <v>42586</v>
      </c>
      <c r="X395" s="197">
        <v>140000</v>
      </c>
      <c r="Y395" s="197">
        <f t="shared" si="35"/>
        <v>0</v>
      </c>
      <c r="Z395" s="192"/>
    </row>
    <row r="396" spans="1:26" s="61" customFormat="1" x14ac:dyDescent="0.25">
      <c r="A396" s="176" t="s">
        <v>2887</v>
      </c>
      <c r="B396" t="s">
        <v>90</v>
      </c>
      <c r="C396" t="s">
        <v>181</v>
      </c>
      <c r="D396" s="4" t="s">
        <v>180</v>
      </c>
      <c r="E396" s="4" t="s">
        <v>1051</v>
      </c>
      <c r="F396" s="4" t="s">
        <v>192</v>
      </c>
      <c r="G396" s="4" t="s">
        <v>177</v>
      </c>
      <c r="H396" s="4" t="s">
        <v>178</v>
      </c>
      <c r="I396" s="4" t="s">
        <v>1275</v>
      </c>
      <c r="J396" s="4" t="s">
        <v>873</v>
      </c>
      <c r="K396" s="6">
        <v>56800</v>
      </c>
      <c r="L396" s="6">
        <f>N396*0.2</f>
        <v>14200</v>
      </c>
      <c r="M396" s="6">
        <f t="shared" si="39"/>
        <v>0</v>
      </c>
      <c r="N396" s="6">
        <v>71000</v>
      </c>
      <c r="O396" s="184" t="s">
        <v>2885</v>
      </c>
      <c r="P396" s="176" t="s">
        <v>2884</v>
      </c>
      <c r="Q396" t="s">
        <v>2888</v>
      </c>
      <c r="R396" t="s">
        <v>2882</v>
      </c>
      <c r="S396" s="178">
        <v>42620</v>
      </c>
      <c r="T396" s="178"/>
      <c r="U396" t="s">
        <v>1775</v>
      </c>
      <c r="V396" t="s">
        <v>2571</v>
      </c>
      <c r="W396" s="178">
        <v>42620</v>
      </c>
      <c r="X396" s="6">
        <v>56800</v>
      </c>
      <c r="Y396" s="6">
        <f t="shared" si="35"/>
        <v>0</v>
      </c>
      <c r="Z396"/>
    </row>
    <row r="397" spans="1:26" x14ac:dyDescent="0.25">
      <c r="A397" s="176" t="s">
        <v>2887</v>
      </c>
      <c r="B397" t="s">
        <v>90</v>
      </c>
      <c r="C397" t="s">
        <v>181</v>
      </c>
      <c r="D397" s="4" t="s">
        <v>180</v>
      </c>
      <c r="E397" s="4" t="s">
        <v>1051</v>
      </c>
      <c r="F397" s="4" t="s">
        <v>192</v>
      </c>
      <c r="G397" s="4" t="s">
        <v>72</v>
      </c>
      <c r="H397" s="4" t="s">
        <v>2886</v>
      </c>
      <c r="I397" s="4" t="s">
        <v>1275</v>
      </c>
      <c r="J397" s="4" t="s">
        <v>873</v>
      </c>
      <c r="K397" s="6">
        <v>511200</v>
      </c>
      <c r="L397" s="6">
        <f>N397*0.2</f>
        <v>127800</v>
      </c>
      <c r="M397" s="6">
        <f t="shared" si="39"/>
        <v>0</v>
      </c>
      <c r="N397" s="6">
        <v>639000</v>
      </c>
      <c r="O397" s="184" t="s">
        <v>2885</v>
      </c>
      <c r="P397" s="176" t="s">
        <v>2884</v>
      </c>
      <c r="Q397" t="s">
        <v>2883</v>
      </c>
      <c r="R397" t="s">
        <v>2882</v>
      </c>
      <c r="S397" s="178">
        <v>42620</v>
      </c>
      <c r="T397" s="178">
        <v>42678</v>
      </c>
      <c r="U397" t="s">
        <v>1775</v>
      </c>
      <c r="V397" t="s">
        <v>2571</v>
      </c>
      <c r="W397" s="178">
        <v>42620</v>
      </c>
      <c r="X397" s="6">
        <v>511200</v>
      </c>
      <c r="Y397" s="6">
        <f t="shared" si="35"/>
        <v>0</v>
      </c>
    </row>
    <row r="398" spans="1:26" s="61" customFormat="1" x14ac:dyDescent="0.25">
      <c r="A398" s="188" t="s">
        <v>3367</v>
      </c>
      <c r="B398" t="s">
        <v>18</v>
      </c>
      <c r="C398" s="61" t="s">
        <v>181</v>
      </c>
      <c r="D398" s="61" t="s">
        <v>579</v>
      </c>
      <c r="E398" s="61" t="s">
        <v>3366</v>
      </c>
      <c r="F398" s="61" t="s">
        <v>3365</v>
      </c>
      <c r="G398" s="61" t="s">
        <v>212</v>
      </c>
      <c r="H398" s="15" t="s">
        <v>213</v>
      </c>
      <c r="I398" s="15" t="s">
        <v>2715</v>
      </c>
      <c r="J398" s="61" t="s">
        <v>913</v>
      </c>
      <c r="K398" s="183">
        <v>9284</v>
      </c>
      <c r="L398" s="6">
        <f>K398*1.25-K398</f>
        <v>2321</v>
      </c>
      <c r="M398" s="6">
        <f t="shared" si="39"/>
        <v>0</v>
      </c>
      <c r="N398" s="183">
        <v>11605</v>
      </c>
      <c r="O398" s="189" t="s">
        <v>3364</v>
      </c>
      <c r="P398" s="188" t="s">
        <v>3363</v>
      </c>
      <c r="Q398" s="199" t="s">
        <v>3362</v>
      </c>
      <c r="R398" s="61" t="s">
        <v>3361</v>
      </c>
      <c r="S398" s="185">
        <v>42570</v>
      </c>
      <c r="U398" s="61" t="s">
        <v>1775</v>
      </c>
      <c r="V398" s="178" t="s">
        <v>2571</v>
      </c>
      <c r="W398" s="185">
        <v>42570</v>
      </c>
      <c r="X398" s="183">
        <v>9284</v>
      </c>
      <c r="Y398" s="183">
        <f t="shared" ref="Y398:Y461" si="41">K398-X398</f>
        <v>0</v>
      </c>
    </row>
    <row r="399" spans="1:26" ht="75" x14ac:dyDescent="0.25">
      <c r="A399" s="176" t="s">
        <v>3331</v>
      </c>
      <c r="B399" t="s">
        <v>18</v>
      </c>
      <c r="C399" t="s">
        <v>181</v>
      </c>
      <c r="D399" t="s">
        <v>180</v>
      </c>
      <c r="E399" t="s">
        <v>41</v>
      </c>
      <c r="F399" t="s">
        <v>180</v>
      </c>
      <c r="G399" t="s">
        <v>72</v>
      </c>
      <c r="H399" s="4" t="s">
        <v>3330</v>
      </c>
      <c r="I399" t="s">
        <v>3316</v>
      </c>
      <c r="J399" t="s">
        <v>3315</v>
      </c>
      <c r="K399" s="6">
        <v>24000</v>
      </c>
      <c r="L399" s="6">
        <f>N399*0.2</f>
        <v>6000</v>
      </c>
      <c r="M399" s="6">
        <f t="shared" si="39"/>
        <v>0</v>
      </c>
      <c r="N399" s="6">
        <v>30000</v>
      </c>
      <c r="O399" s="184" t="s">
        <v>3329</v>
      </c>
      <c r="P399" s="176" t="s">
        <v>3328</v>
      </c>
      <c r="Q399" t="s">
        <v>3327</v>
      </c>
      <c r="R399" s="4" t="s">
        <v>3326</v>
      </c>
      <c r="S399" s="178">
        <v>42436</v>
      </c>
      <c r="U399" t="s">
        <v>2301</v>
      </c>
      <c r="V399" s="178" t="s">
        <v>2604</v>
      </c>
      <c r="W399" s="178">
        <v>42571</v>
      </c>
      <c r="X399" s="6">
        <v>24000</v>
      </c>
      <c r="Y399" s="6">
        <f t="shared" si="41"/>
        <v>0</v>
      </c>
      <c r="Z399" s="4" t="s">
        <v>3325</v>
      </c>
    </row>
    <row r="400" spans="1:26" ht="60" x14ac:dyDescent="0.25">
      <c r="A400" s="176" t="s">
        <v>3324</v>
      </c>
      <c r="B400" t="s">
        <v>18</v>
      </c>
      <c r="C400" t="s">
        <v>181</v>
      </c>
      <c r="D400" t="s">
        <v>180</v>
      </c>
      <c r="E400" s="4" t="s">
        <v>3323</v>
      </c>
      <c r="F400" s="4" t="s">
        <v>3323</v>
      </c>
      <c r="G400" t="s">
        <v>72</v>
      </c>
      <c r="H400" s="4" t="s">
        <v>2257</v>
      </c>
      <c r="I400" t="s">
        <v>3316</v>
      </c>
      <c r="J400" t="s">
        <v>3315</v>
      </c>
      <c r="K400" s="6">
        <v>160000</v>
      </c>
      <c r="L400" s="6">
        <f>N400*0.2</f>
        <v>40000</v>
      </c>
      <c r="M400" s="6">
        <f t="shared" si="39"/>
        <v>0</v>
      </c>
      <c r="N400" s="6">
        <v>200000</v>
      </c>
      <c r="O400" s="184" t="s">
        <v>3322</v>
      </c>
      <c r="P400" s="176" t="s">
        <v>3321</v>
      </c>
      <c r="Q400" t="s">
        <v>3320</v>
      </c>
      <c r="R400" s="4" t="s">
        <v>3319</v>
      </c>
      <c r="S400" s="178">
        <v>42436</v>
      </c>
      <c r="U400" t="s">
        <v>2301</v>
      </c>
      <c r="V400" s="178" t="s">
        <v>2604</v>
      </c>
      <c r="W400" s="178">
        <v>42571</v>
      </c>
      <c r="X400" s="6">
        <v>160000</v>
      </c>
      <c r="Y400" s="6">
        <f t="shared" si="41"/>
        <v>0</v>
      </c>
    </row>
    <row r="401" spans="1:26" s="61" customFormat="1" ht="30" x14ac:dyDescent="0.25">
      <c r="A401" s="188" t="s">
        <v>2239</v>
      </c>
      <c r="B401" t="s">
        <v>18</v>
      </c>
      <c r="C401" s="61" t="s">
        <v>181</v>
      </c>
      <c r="D401" s="61" t="s">
        <v>180</v>
      </c>
      <c r="E401" s="15" t="s">
        <v>3298</v>
      </c>
      <c r="F401" s="61" t="s">
        <v>3297</v>
      </c>
      <c r="G401" s="61" t="s">
        <v>212</v>
      </c>
      <c r="H401" s="15" t="s">
        <v>213</v>
      </c>
      <c r="I401" s="15" t="s">
        <v>2284</v>
      </c>
      <c r="J401" s="15" t="s">
        <v>889</v>
      </c>
      <c r="K401" s="183">
        <v>53826</v>
      </c>
      <c r="L401" s="183">
        <f>K401*1.25-K401</f>
        <v>13456.5</v>
      </c>
      <c r="M401" s="183">
        <v>0</v>
      </c>
      <c r="N401" s="183">
        <v>67282</v>
      </c>
      <c r="O401" s="189" t="s">
        <v>2238</v>
      </c>
      <c r="P401" s="188" t="s">
        <v>2240</v>
      </c>
      <c r="Q401" s="199" t="s">
        <v>3296</v>
      </c>
      <c r="R401" s="61" t="s">
        <v>3295</v>
      </c>
      <c r="S401" s="185">
        <v>42571</v>
      </c>
      <c r="T401" s="185"/>
      <c r="U401" s="61" t="s">
        <v>1775</v>
      </c>
      <c r="V401" s="185" t="s">
        <v>2571</v>
      </c>
      <c r="W401" s="185">
        <v>42571</v>
      </c>
      <c r="X401" s="183">
        <v>53826</v>
      </c>
      <c r="Y401" s="183">
        <f t="shared" si="41"/>
        <v>0</v>
      </c>
    </row>
    <row r="402" spans="1:26" x14ac:dyDescent="0.25">
      <c r="A402" s="176" t="s">
        <v>4202</v>
      </c>
      <c r="B402" t="s">
        <v>18</v>
      </c>
      <c r="C402" t="s">
        <v>2663</v>
      </c>
      <c r="D402" t="s">
        <v>3563</v>
      </c>
      <c r="E402" t="s">
        <v>1044</v>
      </c>
      <c r="F402" t="s">
        <v>4201</v>
      </c>
      <c r="G402" t="s">
        <v>212</v>
      </c>
      <c r="H402" s="4" t="s">
        <v>213</v>
      </c>
      <c r="I402" t="s">
        <v>2581</v>
      </c>
      <c r="J402" t="s">
        <v>877</v>
      </c>
      <c r="K402" s="6">
        <v>500000</v>
      </c>
      <c r="L402" s="6">
        <f>K402*1.25-K402</f>
        <v>125000</v>
      </c>
      <c r="M402" s="6">
        <f t="shared" ref="M402:M445" si="42">N402-(K402+L402)</f>
        <v>1471806</v>
      </c>
      <c r="N402" s="6">
        <v>2096806</v>
      </c>
      <c r="O402" s="184" t="s">
        <v>4200</v>
      </c>
      <c r="P402" s="176" t="s">
        <v>4199</v>
      </c>
      <c r="Q402" t="s">
        <v>4198</v>
      </c>
      <c r="R402" t="s">
        <v>4197</v>
      </c>
      <c r="S402" s="178">
        <v>42438</v>
      </c>
      <c r="U402" t="s">
        <v>1775</v>
      </c>
      <c r="V402" s="178" t="s">
        <v>2571</v>
      </c>
      <c r="W402" s="178">
        <v>42438</v>
      </c>
      <c r="X402" s="6">
        <v>500000</v>
      </c>
      <c r="Y402" s="6">
        <f t="shared" si="41"/>
        <v>0</v>
      </c>
    </row>
    <row r="403" spans="1:26" x14ac:dyDescent="0.25">
      <c r="A403" s="176" t="s">
        <v>597</v>
      </c>
      <c r="B403" t="s">
        <v>90</v>
      </c>
      <c r="C403" t="s">
        <v>2663</v>
      </c>
      <c r="D403" t="s">
        <v>137</v>
      </c>
      <c r="E403" t="s">
        <v>3672</v>
      </c>
      <c r="F403" s="4" t="s">
        <v>3965</v>
      </c>
      <c r="G403" t="s">
        <v>177</v>
      </c>
      <c r="H403" s="4" t="s">
        <v>178</v>
      </c>
      <c r="I403" t="s">
        <v>1275</v>
      </c>
      <c r="J403" t="s">
        <v>873</v>
      </c>
      <c r="K403" s="6">
        <v>520000</v>
      </c>
      <c r="L403" s="6">
        <f>N403*0.2</f>
        <v>130000</v>
      </c>
      <c r="M403" s="6">
        <f t="shared" si="42"/>
        <v>0</v>
      </c>
      <c r="N403" s="6">
        <v>650000</v>
      </c>
      <c r="O403" s="184" t="s">
        <v>3964</v>
      </c>
      <c r="P403" s="176" t="s">
        <v>3963</v>
      </c>
      <c r="Q403" t="s">
        <v>3966</v>
      </c>
      <c r="R403" t="s">
        <v>3961</v>
      </c>
      <c r="S403" s="185">
        <v>42493</v>
      </c>
      <c r="T403" s="178"/>
      <c r="U403" t="s">
        <v>1775</v>
      </c>
      <c r="V403" s="178" t="s">
        <v>2571</v>
      </c>
      <c r="W403" s="185">
        <v>42493</v>
      </c>
      <c r="X403" s="6">
        <v>520000</v>
      </c>
      <c r="Y403" s="6">
        <f t="shared" si="41"/>
        <v>0</v>
      </c>
      <c r="Z403" s="15"/>
    </row>
    <row r="404" spans="1:26" x14ac:dyDescent="0.25">
      <c r="A404" s="176" t="s">
        <v>597</v>
      </c>
      <c r="B404" t="s">
        <v>90</v>
      </c>
      <c r="C404" t="s">
        <v>2663</v>
      </c>
      <c r="D404" t="s">
        <v>137</v>
      </c>
      <c r="E404" t="s">
        <v>3672</v>
      </c>
      <c r="F404" s="4" t="s">
        <v>3965</v>
      </c>
      <c r="G404" t="s">
        <v>72</v>
      </c>
      <c r="H404" s="4" t="s">
        <v>1195</v>
      </c>
      <c r="I404" t="s">
        <v>1275</v>
      </c>
      <c r="J404" t="s">
        <v>873</v>
      </c>
      <c r="K404" s="6">
        <f>5200000-K403</f>
        <v>4680000</v>
      </c>
      <c r="L404" s="6">
        <f>N404*0.2</f>
        <v>1170000</v>
      </c>
      <c r="M404" s="6">
        <f t="shared" si="42"/>
        <v>0</v>
      </c>
      <c r="N404" s="6">
        <f>6500000-N403</f>
        <v>5850000</v>
      </c>
      <c r="O404" s="184" t="s">
        <v>3964</v>
      </c>
      <c r="P404" s="176" t="s">
        <v>3963</v>
      </c>
      <c r="Q404" t="s">
        <v>3962</v>
      </c>
      <c r="R404" t="s">
        <v>3961</v>
      </c>
      <c r="S404" s="185">
        <v>42493</v>
      </c>
      <c r="T404" s="178">
        <v>42531</v>
      </c>
      <c r="U404" t="s">
        <v>1775</v>
      </c>
      <c r="V404" s="178" t="s">
        <v>2571</v>
      </c>
      <c r="W404" s="185">
        <v>42493</v>
      </c>
      <c r="X404" s="6">
        <v>4680000</v>
      </c>
      <c r="Y404" s="6">
        <f t="shared" si="41"/>
        <v>0</v>
      </c>
      <c r="Z404" s="15"/>
    </row>
    <row r="405" spans="1:26" x14ac:dyDescent="0.25">
      <c r="A405" s="176" t="s">
        <v>235</v>
      </c>
      <c r="B405" t="s">
        <v>90</v>
      </c>
      <c r="C405" t="s">
        <v>2663</v>
      </c>
      <c r="D405" t="s">
        <v>236</v>
      </c>
      <c r="E405" t="s">
        <v>233</v>
      </c>
      <c r="F405" t="s">
        <v>1084</v>
      </c>
      <c r="G405" t="s">
        <v>177</v>
      </c>
      <c r="H405" s="4" t="s">
        <v>178</v>
      </c>
      <c r="I405" t="s">
        <v>1275</v>
      </c>
      <c r="J405" t="s">
        <v>873</v>
      </c>
      <c r="K405" s="6">
        <v>450000</v>
      </c>
      <c r="L405" s="6">
        <f t="shared" ref="L405:L410" si="43">N405*0.1</f>
        <v>50000</v>
      </c>
      <c r="M405" s="6">
        <f t="shared" si="42"/>
        <v>0</v>
      </c>
      <c r="N405" s="6">
        <v>500000</v>
      </c>
      <c r="O405" s="184" t="s">
        <v>4287</v>
      </c>
      <c r="P405" s="176" t="s">
        <v>4286</v>
      </c>
      <c r="Q405" t="s">
        <v>4289</v>
      </c>
      <c r="R405" t="s">
        <v>4284</v>
      </c>
      <c r="S405" s="178">
        <v>42418</v>
      </c>
      <c r="U405" t="s">
        <v>1775</v>
      </c>
      <c r="V405" s="178" t="s">
        <v>2571</v>
      </c>
      <c r="W405" s="178">
        <v>42418</v>
      </c>
      <c r="X405" s="6">
        <v>450000</v>
      </c>
      <c r="Y405" s="6">
        <f t="shared" si="41"/>
        <v>0</v>
      </c>
    </row>
    <row r="406" spans="1:26" ht="30" x14ac:dyDescent="0.25">
      <c r="A406" s="176" t="s">
        <v>235</v>
      </c>
      <c r="B406" t="s">
        <v>90</v>
      </c>
      <c r="C406" t="s">
        <v>2663</v>
      </c>
      <c r="D406" t="s">
        <v>236</v>
      </c>
      <c r="E406" t="s">
        <v>233</v>
      </c>
      <c r="F406" t="s">
        <v>1084</v>
      </c>
      <c r="G406" t="s">
        <v>72</v>
      </c>
      <c r="H406" s="4" t="s">
        <v>4288</v>
      </c>
      <c r="I406" t="s">
        <v>1275</v>
      </c>
      <c r="J406" t="s">
        <v>873</v>
      </c>
      <c r="K406" s="6">
        <v>4050000</v>
      </c>
      <c r="L406" s="6">
        <f t="shared" si="43"/>
        <v>450000</v>
      </c>
      <c r="M406" s="6">
        <f t="shared" si="42"/>
        <v>0</v>
      </c>
      <c r="N406" s="6">
        <v>4500000</v>
      </c>
      <c r="O406" s="184" t="s">
        <v>4287</v>
      </c>
      <c r="P406" s="176" t="s">
        <v>4286</v>
      </c>
      <c r="Q406" t="s">
        <v>4285</v>
      </c>
      <c r="R406" t="s">
        <v>4284</v>
      </c>
      <c r="S406" s="178">
        <v>42418</v>
      </c>
      <c r="T406" s="178">
        <v>42531</v>
      </c>
      <c r="U406" t="s">
        <v>1775</v>
      </c>
      <c r="V406" s="178" t="s">
        <v>2571</v>
      </c>
      <c r="W406" s="178">
        <v>42418</v>
      </c>
      <c r="X406" s="6">
        <v>4050000</v>
      </c>
      <c r="Y406" s="6">
        <f t="shared" si="41"/>
        <v>0</v>
      </c>
    </row>
    <row r="407" spans="1:26" x14ac:dyDescent="0.25">
      <c r="A407" s="176" t="s">
        <v>235</v>
      </c>
      <c r="B407" t="s">
        <v>90</v>
      </c>
      <c r="C407" t="s">
        <v>2663</v>
      </c>
      <c r="D407" t="s">
        <v>236</v>
      </c>
      <c r="E407" t="s">
        <v>233</v>
      </c>
      <c r="F407" s="4" t="s">
        <v>3968</v>
      </c>
      <c r="G407" t="s">
        <v>177</v>
      </c>
      <c r="H407" s="4" t="s">
        <v>178</v>
      </c>
      <c r="I407" t="s">
        <v>1275</v>
      </c>
      <c r="J407" t="s">
        <v>873</v>
      </c>
      <c r="K407" s="6">
        <v>366300</v>
      </c>
      <c r="L407" s="6">
        <f t="shared" si="43"/>
        <v>40700</v>
      </c>
      <c r="M407" s="6">
        <f t="shared" si="42"/>
        <v>0</v>
      </c>
      <c r="N407" s="6">
        <v>407000</v>
      </c>
      <c r="O407" s="184" t="s">
        <v>1287</v>
      </c>
      <c r="P407" s="176" t="s">
        <v>1447</v>
      </c>
      <c r="Q407" t="s">
        <v>3969</v>
      </c>
      <c r="R407" t="s">
        <v>3967</v>
      </c>
      <c r="S407" s="185">
        <v>42493</v>
      </c>
      <c r="T407" s="178"/>
      <c r="U407" t="s">
        <v>1775</v>
      </c>
      <c r="V407" s="178" t="s">
        <v>2571</v>
      </c>
      <c r="W407" s="185">
        <v>42493</v>
      </c>
      <c r="X407" s="6">
        <v>366300</v>
      </c>
      <c r="Y407" s="6">
        <f t="shared" si="41"/>
        <v>0</v>
      </c>
      <c r="Z407" s="15"/>
    </row>
    <row r="408" spans="1:26" s="61" customFormat="1" x14ac:dyDescent="0.25">
      <c r="A408" s="176" t="s">
        <v>235</v>
      </c>
      <c r="B408" t="s">
        <v>90</v>
      </c>
      <c r="C408" t="s">
        <v>2663</v>
      </c>
      <c r="D408" t="s">
        <v>236</v>
      </c>
      <c r="E408" t="s">
        <v>233</v>
      </c>
      <c r="F408" s="4" t="s">
        <v>3968</v>
      </c>
      <c r="G408" t="s">
        <v>72</v>
      </c>
      <c r="H408" s="4" t="s">
        <v>1196</v>
      </c>
      <c r="I408" t="s">
        <v>1275</v>
      </c>
      <c r="J408" t="s">
        <v>873</v>
      </c>
      <c r="K408" s="6">
        <f>2666700+450000</f>
        <v>3116700</v>
      </c>
      <c r="L408" s="6">
        <f t="shared" si="43"/>
        <v>366300</v>
      </c>
      <c r="M408" s="6">
        <f t="shared" si="42"/>
        <v>180000</v>
      </c>
      <c r="N408" s="6">
        <f>4070000-N407</f>
        <v>3663000</v>
      </c>
      <c r="O408" s="184" t="s">
        <v>1287</v>
      </c>
      <c r="P408" s="176" t="s">
        <v>1447</v>
      </c>
      <c r="Q408" t="s">
        <v>238</v>
      </c>
      <c r="R408" t="s">
        <v>3967</v>
      </c>
      <c r="S408" s="185">
        <v>42493</v>
      </c>
      <c r="T408" s="178">
        <v>42531</v>
      </c>
      <c r="U408" t="s">
        <v>1775</v>
      </c>
      <c r="V408" s="178" t="s">
        <v>2571</v>
      </c>
      <c r="W408" s="185">
        <v>42493</v>
      </c>
      <c r="X408" s="6">
        <v>3116700</v>
      </c>
      <c r="Y408" s="6">
        <f t="shared" si="41"/>
        <v>0</v>
      </c>
      <c r="Z408" s="15"/>
    </row>
    <row r="409" spans="1:26" s="61" customFormat="1" x14ac:dyDescent="0.25">
      <c r="A409" s="176" t="s">
        <v>3485</v>
      </c>
      <c r="B409" t="s">
        <v>90</v>
      </c>
      <c r="C409" t="s">
        <v>2663</v>
      </c>
      <c r="D409" t="s">
        <v>3484</v>
      </c>
      <c r="E409" t="s">
        <v>3483</v>
      </c>
      <c r="F409" t="s">
        <v>3482</v>
      </c>
      <c r="G409" t="s">
        <v>72</v>
      </c>
      <c r="H409" s="4" t="s">
        <v>2886</v>
      </c>
      <c r="I409" t="s">
        <v>1275</v>
      </c>
      <c r="J409" t="s">
        <v>873</v>
      </c>
      <c r="K409" s="6">
        <f>441684+286172</f>
        <v>727856</v>
      </c>
      <c r="L409" s="6">
        <f t="shared" si="43"/>
        <v>81524</v>
      </c>
      <c r="M409" s="6">
        <f t="shared" si="42"/>
        <v>5860</v>
      </c>
      <c r="N409" s="6">
        <f>937525-N410</f>
        <v>815240</v>
      </c>
      <c r="O409" s="184" t="s">
        <v>3481</v>
      </c>
      <c r="P409" s="176" t="s">
        <v>3480</v>
      </c>
      <c r="Q409" t="s">
        <v>3486</v>
      </c>
      <c r="R409" t="s">
        <v>3478</v>
      </c>
      <c r="S409" s="178">
        <v>42362</v>
      </c>
      <c r="T409"/>
      <c r="U409" t="s">
        <v>2301</v>
      </c>
      <c r="V409" s="178" t="s">
        <v>2604</v>
      </c>
      <c r="W409" s="178">
        <v>42565</v>
      </c>
      <c r="X409" s="6">
        <v>720000</v>
      </c>
      <c r="Y409" s="6">
        <f t="shared" si="41"/>
        <v>7856</v>
      </c>
      <c r="Z409"/>
    </row>
    <row r="410" spans="1:26" s="61" customFormat="1" x14ac:dyDescent="0.25">
      <c r="A410" s="176" t="s">
        <v>3485</v>
      </c>
      <c r="B410" t="s">
        <v>90</v>
      </c>
      <c r="C410" t="s">
        <v>2663</v>
      </c>
      <c r="D410" t="s">
        <v>3484</v>
      </c>
      <c r="E410" t="s">
        <v>3483</v>
      </c>
      <c r="F410" t="s">
        <v>3482</v>
      </c>
      <c r="G410" t="s">
        <v>177</v>
      </c>
      <c r="H410" s="4" t="s">
        <v>178</v>
      </c>
      <c r="I410" t="s">
        <v>1275</v>
      </c>
      <c r="J410" t="s">
        <v>873</v>
      </c>
      <c r="K410" s="6">
        <v>109178</v>
      </c>
      <c r="L410" s="6">
        <f t="shared" si="43"/>
        <v>12228.5</v>
      </c>
      <c r="M410" s="6">
        <f t="shared" si="42"/>
        <v>878.5</v>
      </c>
      <c r="N410" s="6">
        <f>121309+976</f>
        <v>122285</v>
      </c>
      <c r="O410" s="184" t="s">
        <v>3481</v>
      </c>
      <c r="P410" s="176" t="s">
        <v>3480</v>
      </c>
      <c r="Q410" t="s">
        <v>3479</v>
      </c>
      <c r="R410" t="s">
        <v>3478</v>
      </c>
      <c r="S410" s="178">
        <v>42362</v>
      </c>
      <c r="T410" s="178">
        <v>42433</v>
      </c>
      <c r="U410" t="s">
        <v>2301</v>
      </c>
      <c r="V410" s="178" t="s">
        <v>2604</v>
      </c>
      <c r="W410" s="178">
        <v>42565</v>
      </c>
      <c r="X410" s="6">
        <v>81000</v>
      </c>
      <c r="Y410" s="6">
        <f t="shared" si="41"/>
        <v>28178</v>
      </c>
      <c r="Z410"/>
    </row>
    <row r="411" spans="1:26" s="61" customFormat="1" x14ac:dyDescent="0.25">
      <c r="A411" s="176" t="s">
        <v>2244</v>
      </c>
      <c r="B411" t="s">
        <v>18</v>
      </c>
      <c r="C411" t="s">
        <v>2663</v>
      </c>
      <c r="D411" t="s">
        <v>282</v>
      </c>
      <c r="E411" t="s">
        <v>2951</v>
      </c>
      <c r="F411" t="s">
        <v>2950</v>
      </c>
      <c r="G411" t="s">
        <v>72</v>
      </c>
      <c r="H411" s="4" t="s">
        <v>685</v>
      </c>
      <c r="I411" t="s">
        <v>2284</v>
      </c>
      <c r="J411" t="s">
        <v>889</v>
      </c>
      <c r="K411" s="6">
        <v>35200</v>
      </c>
      <c r="L411" s="6">
        <f t="shared" ref="L411:L416" si="44">N411*0.2</f>
        <v>8800</v>
      </c>
      <c r="M411" s="6">
        <f t="shared" si="42"/>
        <v>0</v>
      </c>
      <c r="N411" s="6">
        <v>44000</v>
      </c>
      <c r="O411" s="184" t="s">
        <v>2247</v>
      </c>
      <c r="P411" s="176" t="s">
        <v>2248</v>
      </c>
      <c r="Q411" t="s">
        <v>2949</v>
      </c>
      <c r="R411" t="s">
        <v>2948</v>
      </c>
      <c r="S411" s="178">
        <v>42611</v>
      </c>
      <c r="T411"/>
      <c r="U411" t="s">
        <v>1775</v>
      </c>
      <c r="V411" t="s">
        <v>2571</v>
      </c>
      <c r="W411" s="178">
        <v>42611</v>
      </c>
      <c r="X411" s="6">
        <v>35200</v>
      </c>
      <c r="Y411" s="6">
        <f t="shared" si="41"/>
        <v>0</v>
      </c>
      <c r="Z411"/>
    </row>
    <row r="412" spans="1:26" s="61" customFormat="1" x14ac:dyDescent="0.25">
      <c r="A412" s="176" t="s">
        <v>4510</v>
      </c>
      <c r="B412" t="s">
        <v>90</v>
      </c>
      <c r="C412" t="s">
        <v>2663</v>
      </c>
      <c r="D412" t="s">
        <v>291</v>
      </c>
      <c r="E412" t="s">
        <v>4509</v>
      </c>
      <c r="F412" t="s">
        <v>4508</v>
      </c>
      <c r="G412" t="s">
        <v>212</v>
      </c>
      <c r="H412" s="4" t="s">
        <v>213</v>
      </c>
      <c r="I412" t="s">
        <v>1277</v>
      </c>
      <c r="J412" t="s">
        <v>877</v>
      </c>
      <c r="K412" s="6">
        <v>123410</v>
      </c>
      <c r="L412" s="6">
        <f t="shared" si="44"/>
        <v>30852.400000000001</v>
      </c>
      <c r="M412" s="6">
        <f t="shared" si="42"/>
        <v>-0.39999999999417923</v>
      </c>
      <c r="N412" s="6">
        <v>154262</v>
      </c>
      <c r="O412" s="184" t="s">
        <v>4507</v>
      </c>
      <c r="P412" s="176" t="s">
        <v>4506</v>
      </c>
      <c r="Q412" s="4" t="s">
        <v>4505</v>
      </c>
      <c r="R412" t="s">
        <v>4504</v>
      </c>
      <c r="S412" s="178">
        <v>42331</v>
      </c>
      <c r="T412"/>
      <c r="U412" t="s">
        <v>1775</v>
      </c>
      <c r="V412" s="178" t="s">
        <v>2571</v>
      </c>
      <c r="W412" s="178">
        <v>42331</v>
      </c>
      <c r="X412" s="6">
        <v>123410</v>
      </c>
      <c r="Y412" s="6">
        <f t="shared" si="41"/>
        <v>0</v>
      </c>
      <c r="Z412"/>
    </row>
    <row r="413" spans="1:26" s="61" customFormat="1" ht="30" x14ac:dyDescent="0.25">
      <c r="A413" s="176" t="s">
        <v>2785</v>
      </c>
      <c r="B413" t="s">
        <v>18</v>
      </c>
      <c r="C413" t="s">
        <v>2663</v>
      </c>
      <c r="D413" s="4" t="s">
        <v>2784</v>
      </c>
      <c r="E413" s="4" t="s">
        <v>2783</v>
      </c>
      <c r="F413" s="4" t="s">
        <v>2782</v>
      </c>
      <c r="G413" s="4" t="s">
        <v>177</v>
      </c>
      <c r="H413" s="4" t="s">
        <v>178</v>
      </c>
      <c r="I413" s="4" t="s">
        <v>2781</v>
      </c>
      <c r="J413" s="4" t="s">
        <v>2652</v>
      </c>
      <c r="K413" s="6">
        <v>64000</v>
      </c>
      <c r="L413" s="6">
        <f t="shared" si="44"/>
        <v>16000</v>
      </c>
      <c r="M413" s="6">
        <f t="shared" si="42"/>
        <v>0</v>
      </c>
      <c r="N413" s="6">
        <v>80000</v>
      </c>
      <c r="O413" s="184" t="s">
        <v>2780</v>
      </c>
      <c r="P413" s="176" t="s">
        <v>2779</v>
      </c>
      <c r="Q413" t="s">
        <v>2786</v>
      </c>
      <c r="R413" t="s">
        <v>2777</v>
      </c>
      <c r="S413" s="178">
        <v>42626</v>
      </c>
      <c r="T413"/>
      <c r="U413" t="s">
        <v>1775</v>
      </c>
      <c r="V413" t="s">
        <v>2571</v>
      </c>
      <c r="W413" s="178">
        <v>42626</v>
      </c>
      <c r="X413" s="6">
        <v>64000</v>
      </c>
      <c r="Y413" s="6">
        <f t="shared" si="41"/>
        <v>0</v>
      </c>
      <c r="Z413"/>
    </row>
    <row r="414" spans="1:26" s="61" customFormat="1" ht="30" x14ac:dyDescent="0.25">
      <c r="A414" s="176" t="s">
        <v>2785</v>
      </c>
      <c r="B414" t="s">
        <v>18</v>
      </c>
      <c r="C414" t="s">
        <v>2663</v>
      </c>
      <c r="D414" s="4" t="s">
        <v>2784</v>
      </c>
      <c r="E414" s="4" t="s">
        <v>2783</v>
      </c>
      <c r="F414" s="4" t="s">
        <v>2782</v>
      </c>
      <c r="G414" s="4" t="s">
        <v>72</v>
      </c>
      <c r="H414" s="4" t="s">
        <v>2716</v>
      </c>
      <c r="I414" s="4" t="s">
        <v>2781</v>
      </c>
      <c r="J414" s="4" t="s">
        <v>2652</v>
      </c>
      <c r="K414" s="6">
        <v>448002</v>
      </c>
      <c r="L414" s="6">
        <f t="shared" si="44"/>
        <v>176159</v>
      </c>
      <c r="M414" s="6">
        <f t="shared" si="42"/>
        <v>256634</v>
      </c>
      <c r="N414" s="6">
        <v>880795</v>
      </c>
      <c r="O414" s="184" t="s">
        <v>2780</v>
      </c>
      <c r="P414" s="176" t="s">
        <v>2779</v>
      </c>
      <c r="Q414" t="s">
        <v>2778</v>
      </c>
      <c r="R414" t="s">
        <v>2777</v>
      </c>
      <c r="S414" s="178">
        <v>42626</v>
      </c>
      <c r="T414" s="178">
        <v>42678</v>
      </c>
      <c r="U414" t="s">
        <v>1775</v>
      </c>
      <c r="V414" t="s">
        <v>2571</v>
      </c>
      <c r="W414" s="178">
        <v>42626</v>
      </c>
      <c r="X414" s="6">
        <v>448002</v>
      </c>
      <c r="Y414" s="6">
        <f t="shared" si="41"/>
        <v>0</v>
      </c>
      <c r="Z414"/>
    </row>
    <row r="415" spans="1:26" s="61" customFormat="1" x14ac:dyDescent="0.25">
      <c r="A415" s="176" t="s">
        <v>4179</v>
      </c>
      <c r="B415" t="s">
        <v>18</v>
      </c>
      <c r="C415" t="s">
        <v>2663</v>
      </c>
      <c r="D415" t="s">
        <v>291</v>
      </c>
      <c r="E415" t="s">
        <v>4178</v>
      </c>
      <c r="F415" t="s">
        <v>4177</v>
      </c>
      <c r="G415" t="s">
        <v>177</v>
      </c>
      <c r="H415" s="4" t="s">
        <v>178</v>
      </c>
      <c r="I415" t="s">
        <v>2581</v>
      </c>
      <c r="J415" t="s">
        <v>877</v>
      </c>
      <c r="K415" s="6">
        <v>120000</v>
      </c>
      <c r="L415" s="6">
        <f t="shared" si="44"/>
        <v>50000</v>
      </c>
      <c r="M415" s="6">
        <f t="shared" si="42"/>
        <v>80000</v>
      </c>
      <c r="N415" s="6">
        <v>250000</v>
      </c>
      <c r="O415" s="184" t="s">
        <v>4176</v>
      </c>
      <c r="P415" s="176" t="s">
        <v>4175</v>
      </c>
      <c r="Q415" t="s">
        <v>4180</v>
      </c>
      <c r="R415" t="s">
        <v>4173</v>
      </c>
      <c r="S415" s="178">
        <v>42439</v>
      </c>
      <c r="T415"/>
      <c r="U415" t="s">
        <v>1775</v>
      </c>
      <c r="V415" s="178" t="s">
        <v>2571</v>
      </c>
      <c r="W415" s="178">
        <v>42439</v>
      </c>
      <c r="X415" s="6">
        <v>120000</v>
      </c>
      <c r="Y415" s="6">
        <f t="shared" si="41"/>
        <v>0</v>
      </c>
      <c r="Z415"/>
    </row>
    <row r="416" spans="1:26" s="61" customFormat="1" x14ac:dyDescent="0.25">
      <c r="A416" s="176" t="s">
        <v>4179</v>
      </c>
      <c r="B416" t="s">
        <v>18</v>
      </c>
      <c r="C416" t="s">
        <v>2663</v>
      </c>
      <c r="D416" t="s">
        <v>291</v>
      </c>
      <c r="E416" t="s">
        <v>4178</v>
      </c>
      <c r="F416" t="s">
        <v>4177</v>
      </c>
      <c r="G416" t="s">
        <v>72</v>
      </c>
      <c r="H416" s="4" t="s">
        <v>123</v>
      </c>
      <c r="I416" t="s">
        <v>2581</v>
      </c>
      <c r="J416" t="s">
        <v>877</v>
      </c>
      <c r="K416" s="6">
        <f>1760000+620000</f>
        <v>2380000</v>
      </c>
      <c r="L416" s="6">
        <f t="shared" si="44"/>
        <v>786400</v>
      </c>
      <c r="M416" s="6">
        <f t="shared" si="42"/>
        <v>765600</v>
      </c>
      <c r="N416" s="6">
        <f>775000+3157000</f>
        <v>3932000</v>
      </c>
      <c r="O416" s="184" t="s">
        <v>4176</v>
      </c>
      <c r="P416" s="176" t="s">
        <v>4175</v>
      </c>
      <c r="Q416" t="s">
        <v>4174</v>
      </c>
      <c r="R416" t="s">
        <v>4173</v>
      </c>
      <c r="S416" s="178">
        <v>42439</v>
      </c>
      <c r="T416"/>
      <c r="U416" t="s">
        <v>1775</v>
      </c>
      <c r="V416" s="178" t="s">
        <v>2571</v>
      </c>
      <c r="W416" s="178">
        <v>42439</v>
      </c>
      <c r="X416" s="6">
        <v>2380000</v>
      </c>
      <c r="Y416" s="6">
        <f t="shared" si="41"/>
        <v>0</v>
      </c>
      <c r="Z416"/>
    </row>
    <row r="417" spans="1:26" s="61" customFormat="1" x14ac:dyDescent="0.25">
      <c r="A417" s="176" t="s">
        <v>4179</v>
      </c>
      <c r="B417" t="s">
        <v>18</v>
      </c>
      <c r="C417" t="s">
        <v>2663</v>
      </c>
      <c r="D417" t="s">
        <v>291</v>
      </c>
      <c r="E417" t="s">
        <v>4178</v>
      </c>
      <c r="F417" t="s">
        <v>4177</v>
      </c>
      <c r="G417" t="s">
        <v>72</v>
      </c>
      <c r="H417" s="4" t="s">
        <v>2791</v>
      </c>
      <c r="I417" t="s">
        <v>83</v>
      </c>
      <c r="J417" t="s">
        <v>877</v>
      </c>
      <c r="K417" s="6">
        <v>0</v>
      </c>
      <c r="L417" s="6">
        <v>0</v>
      </c>
      <c r="M417" s="6">
        <f t="shared" si="42"/>
        <v>62000</v>
      </c>
      <c r="N417" s="6">
        <v>62000</v>
      </c>
      <c r="O417" s="184" t="s">
        <v>4176</v>
      </c>
      <c r="P417" s="176" t="s">
        <v>4175</v>
      </c>
      <c r="Q417" t="s">
        <v>4174</v>
      </c>
      <c r="R417" t="s">
        <v>4173</v>
      </c>
      <c r="S417" s="178">
        <v>42439</v>
      </c>
      <c r="T417"/>
      <c r="U417" t="s">
        <v>1775</v>
      </c>
      <c r="V417" s="178" t="s">
        <v>2571</v>
      </c>
      <c r="W417" s="178">
        <v>42439</v>
      </c>
      <c r="X417" s="6"/>
      <c r="Y417" s="6">
        <f t="shared" si="41"/>
        <v>0</v>
      </c>
      <c r="Z417"/>
    </row>
    <row r="418" spans="1:26" s="61" customFormat="1" x14ac:dyDescent="0.25">
      <c r="A418" s="176" t="s">
        <v>2672</v>
      </c>
      <c r="B418" t="s">
        <v>18</v>
      </c>
      <c r="C418" t="s">
        <v>2663</v>
      </c>
      <c r="D418" s="4" t="s">
        <v>955</v>
      </c>
      <c r="E418" s="4" t="s">
        <v>2671</v>
      </c>
      <c r="F418" s="4" t="s">
        <v>2670</v>
      </c>
      <c r="G418" s="4" t="s">
        <v>177</v>
      </c>
      <c r="H418" s="4" t="s">
        <v>178</v>
      </c>
      <c r="I418" s="4" t="s">
        <v>2581</v>
      </c>
      <c r="J418" s="4" t="s">
        <v>877</v>
      </c>
      <c r="K418" s="6">
        <v>324000</v>
      </c>
      <c r="L418" s="6">
        <f>N418*0.2</f>
        <v>81000</v>
      </c>
      <c r="M418" s="6">
        <f t="shared" si="42"/>
        <v>0</v>
      </c>
      <c r="N418" s="6">
        <v>405000</v>
      </c>
      <c r="O418" s="184" t="s">
        <v>2668</v>
      </c>
      <c r="P418" s="176" t="s">
        <v>2667</v>
      </c>
      <c r="Q418" t="s">
        <v>2666</v>
      </c>
      <c r="R418" t="s">
        <v>2665</v>
      </c>
      <c r="S418" s="178">
        <v>42636</v>
      </c>
      <c r="T418"/>
      <c r="U418" t="s">
        <v>1775</v>
      </c>
      <c r="V418" t="s">
        <v>2571</v>
      </c>
      <c r="W418" s="178">
        <v>42636</v>
      </c>
      <c r="X418" s="6">
        <v>324000</v>
      </c>
      <c r="Y418" s="6">
        <f t="shared" si="41"/>
        <v>0</v>
      </c>
      <c r="Z418"/>
    </row>
    <row r="419" spans="1:26" s="61" customFormat="1" ht="45" x14ac:dyDescent="0.25">
      <c r="A419" s="176" t="s">
        <v>2672</v>
      </c>
      <c r="B419" t="s">
        <v>18</v>
      </c>
      <c r="C419" t="s">
        <v>2663</v>
      </c>
      <c r="D419" s="4" t="s">
        <v>955</v>
      </c>
      <c r="E419" s="4" t="s">
        <v>2671</v>
      </c>
      <c r="F419" s="4" t="s">
        <v>2670</v>
      </c>
      <c r="G419" s="4" t="s">
        <v>72</v>
      </c>
      <c r="H419" s="4" t="s">
        <v>2669</v>
      </c>
      <c r="I419" s="4" t="s">
        <v>2581</v>
      </c>
      <c r="J419" s="4" t="s">
        <v>877</v>
      </c>
      <c r="K419" s="6">
        <v>2800000</v>
      </c>
      <c r="L419" s="6">
        <f>N419*0.2</f>
        <v>700000</v>
      </c>
      <c r="M419" s="6">
        <f t="shared" si="42"/>
        <v>0</v>
      </c>
      <c r="N419" s="6">
        <v>3500000</v>
      </c>
      <c r="O419" s="184" t="s">
        <v>2668</v>
      </c>
      <c r="P419" s="176" t="s">
        <v>2667</v>
      </c>
      <c r="Q419" t="s">
        <v>2666</v>
      </c>
      <c r="R419" t="s">
        <v>2665</v>
      </c>
      <c r="S419" s="178">
        <v>42636</v>
      </c>
      <c r="T419"/>
      <c r="U419" t="s">
        <v>1775</v>
      </c>
      <c r="V419" t="s">
        <v>2571</v>
      </c>
      <c r="W419" s="178">
        <v>42636</v>
      </c>
      <c r="X419" s="6">
        <v>2800000</v>
      </c>
      <c r="Y419" s="6">
        <f t="shared" si="41"/>
        <v>0</v>
      </c>
      <c r="Z419"/>
    </row>
    <row r="420" spans="1:26" s="61" customFormat="1" x14ac:dyDescent="0.25">
      <c r="A420" s="176" t="s">
        <v>4092</v>
      </c>
      <c r="B420" t="s">
        <v>18</v>
      </c>
      <c r="C420" t="s">
        <v>2663</v>
      </c>
      <c r="D420" t="s">
        <v>3484</v>
      </c>
      <c r="E420" t="s">
        <v>4091</v>
      </c>
      <c r="F420" s="4" t="s">
        <v>4090</v>
      </c>
      <c r="G420" t="s">
        <v>72</v>
      </c>
      <c r="H420" s="4" t="s">
        <v>75</v>
      </c>
      <c r="I420" t="s">
        <v>2581</v>
      </c>
      <c r="J420" s="4" t="s">
        <v>877</v>
      </c>
      <c r="K420" s="6">
        <f>1260142</f>
        <v>1260142</v>
      </c>
      <c r="L420" s="6">
        <f>N420*0.2</f>
        <v>315035.80000000005</v>
      </c>
      <c r="M420" s="6">
        <f t="shared" si="42"/>
        <v>1.1999999999534339</v>
      </c>
      <c r="N420" s="6">
        <f>1825179-N421</f>
        <v>1575179</v>
      </c>
      <c r="O420" s="184" t="s">
        <v>4089</v>
      </c>
      <c r="P420" s="176" t="s">
        <v>4088</v>
      </c>
      <c r="Q420" t="s">
        <v>4093</v>
      </c>
      <c r="R420" t="s">
        <v>4086</v>
      </c>
      <c r="S420" s="178">
        <v>42395</v>
      </c>
      <c r="T420" s="178">
        <v>42433</v>
      </c>
      <c r="U420" t="s">
        <v>1775</v>
      </c>
      <c r="V420" s="178" t="s">
        <v>2604</v>
      </c>
      <c r="W420" s="178">
        <v>42474</v>
      </c>
      <c r="X420" s="6">
        <v>1442288</v>
      </c>
      <c r="Y420" s="6">
        <f t="shared" si="41"/>
        <v>-182146</v>
      </c>
      <c r="Z420"/>
    </row>
    <row r="421" spans="1:26" s="61" customFormat="1" x14ac:dyDescent="0.25">
      <c r="A421" s="176" t="s">
        <v>4092</v>
      </c>
      <c r="B421" t="s">
        <v>18</v>
      </c>
      <c r="C421" t="s">
        <v>2663</v>
      </c>
      <c r="D421" t="s">
        <v>3484</v>
      </c>
      <c r="E421" t="s">
        <v>4091</v>
      </c>
      <c r="F421" s="4" t="s">
        <v>4090</v>
      </c>
      <c r="G421" t="s">
        <v>177</v>
      </c>
      <c r="H421" s="4" t="s">
        <v>178</v>
      </c>
      <c r="I421" t="s">
        <v>2581</v>
      </c>
      <c r="J421" s="4" t="s">
        <v>877</v>
      </c>
      <c r="K421" s="6">
        <v>200000</v>
      </c>
      <c r="L421" s="6">
        <f>N421*0.2</f>
        <v>50000</v>
      </c>
      <c r="M421" s="6">
        <f t="shared" si="42"/>
        <v>0</v>
      </c>
      <c r="N421" s="6">
        <v>250000</v>
      </c>
      <c r="O421" s="184" t="s">
        <v>4089</v>
      </c>
      <c r="P421" s="176" t="s">
        <v>4088</v>
      </c>
      <c r="Q421" t="s">
        <v>4087</v>
      </c>
      <c r="R421" t="s">
        <v>4086</v>
      </c>
      <c r="S421" s="178">
        <v>42395</v>
      </c>
      <c r="T421"/>
      <c r="U421" t="s">
        <v>1775</v>
      </c>
      <c r="V421" s="178" t="s">
        <v>2604</v>
      </c>
      <c r="W421" s="178">
        <v>42474</v>
      </c>
      <c r="X421" s="6">
        <v>200000</v>
      </c>
      <c r="Y421" s="6">
        <f t="shared" si="41"/>
        <v>0</v>
      </c>
      <c r="Z421"/>
    </row>
    <row r="422" spans="1:26" ht="30" x14ac:dyDescent="0.25">
      <c r="A422" s="176" t="s">
        <v>2664</v>
      </c>
      <c r="B422" t="s">
        <v>90</v>
      </c>
      <c r="C422" t="s">
        <v>2663</v>
      </c>
      <c r="D422" t="s">
        <v>137</v>
      </c>
      <c r="E422" t="s">
        <v>447</v>
      </c>
      <c r="F422" t="s">
        <v>2662</v>
      </c>
      <c r="G422" t="s">
        <v>73</v>
      </c>
      <c r="H422" s="4" t="s">
        <v>245</v>
      </c>
      <c r="I422" t="s">
        <v>1276</v>
      </c>
      <c r="J422" t="s">
        <v>871</v>
      </c>
      <c r="K422" s="6">
        <v>63000</v>
      </c>
      <c r="L422" s="6">
        <f>N422*0.1</f>
        <v>7000</v>
      </c>
      <c r="M422" s="6">
        <f t="shared" si="42"/>
        <v>0</v>
      </c>
      <c r="N422" s="6">
        <v>70000</v>
      </c>
      <c r="O422" s="184" t="s">
        <v>2776</v>
      </c>
      <c r="P422" s="176" t="s">
        <v>2775</v>
      </c>
      <c r="Q422" s="4" t="s">
        <v>2774</v>
      </c>
      <c r="R422" t="s">
        <v>2658</v>
      </c>
      <c r="S422" s="178">
        <v>42331</v>
      </c>
      <c r="U422" t="s">
        <v>2301</v>
      </c>
      <c r="V422" s="178" t="s">
        <v>2604</v>
      </c>
      <c r="W422" s="178">
        <v>42628</v>
      </c>
      <c r="X422" s="6">
        <v>63000</v>
      </c>
      <c r="Y422" s="6">
        <f t="shared" si="41"/>
        <v>0</v>
      </c>
    </row>
    <row r="423" spans="1:26" x14ac:dyDescent="0.25">
      <c r="A423" s="176" t="s">
        <v>2664</v>
      </c>
      <c r="B423" t="s">
        <v>90</v>
      </c>
      <c r="C423" t="s">
        <v>2663</v>
      </c>
      <c r="D423" t="s">
        <v>137</v>
      </c>
      <c r="E423" t="s">
        <v>447</v>
      </c>
      <c r="F423" t="s">
        <v>2662</v>
      </c>
      <c r="G423" s="4" t="s">
        <v>177</v>
      </c>
      <c r="H423" s="4" t="s">
        <v>178</v>
      </c>
      <c r="I423" s="4" t="s">
        <v>1276</v>
      </c>
      <c r="J423" s="4" t="s">
        <v>871</v>
      </c>
      <c r="K423" s="6">
        <v>84600</v>
      </c>
      <c r="L423" s="6">
        <f>N423*0.1</f>
        <v>9400</v>
      </c>
      <c r="M423" s="6">
        <f t="shared" si="42"/>
        <v>0</v>
      </c>
      <c r="N423" s="6">
        <v>94000</v>
      </c>
      <c r="O423" s="184" t="s">
        <v>2661</v>
      </c>
      <c r="P423" s="176" t="s">
        <v>2660</v>
      </c>
      <c r="Q423" t="s">
        <v>2659</v>
      </c>
      <c r="R423" t="s">
        <v>2658</v>
      </c>
      <c r="S423" s="178">
        <v>42636</v>
      </c>
      <c r="U423" t="s">
        <v>1775</v>
      </c>
      <c r="V423" t="s">
        <v>2571</v>
      </c>
      <c r="W423" s="178">
        <v>42636</v>
      </c>
      <c r="X423" s="6">
        <v>84600</v>
      </c>
      <c r="Y423" s="6">
        <f t="shared" si="41"/>
        <v>0</v>
      </c>
    </row>
    <row r="424" spans="1:26" x14ac:dyDescent="0.25">
      <c r="A424" s="176" t="s">
        <v>2664</v>
      </c>
      <c r="B424" t="s">
        <v>90</v>
      </c>
      <c r="C424" t="s">
        <v>2663</v>
      </c>
      <c r="D424" t="s">
        <v>137</v>
      </c>
      <c r="E424" t="s">
        <v>447</v>
      </c>
      <c r="F424" t="s">
        <v>2662</v>
      </c>
      <c r="G424" s="4" t="s">
        <v>72</v>
      </c>
      <c r="H424" s="4" t="s">
        <v>75</v>
      </c>
      <c r="I424" s="4" t="s">
        <v>1276</v>
      </c>
      <c r="J424" s="4" t="s">
        <v>871</v>
      </c>
      <c r="K424" s="6">
        <f>540000+223200</f>
        <v>763200</v>
      </c>
      <c r="L424" s="6">
        <f>N424*0.1</f>
        <v>84800</v>
      </c>
      <c r="M424" s="6">
        <f t="shared" si="42"/>
        <v>0</v>
      </c>
      <c r="N424" s="6">
        <v>848000</v>
      </c>
      <c r="O424" s="184" t="s">
        <v>2661</v>
      </c>
      <c r="P424" s="176" t="s">
        <v>2660</v>
      </c>
      <c r="Q424" t="s">
        <v>2659</v>
      </c>
      <c r="R424" t="s">
        <v>2658</v>
      </c>
      <c r="S424" s="178">
        <v>42636</v>
      </c>
      <c r="U424" t="s">
        <v>1775</v>
      </c>
      <c r="V424" t="s">
        <v>2571</v>
      </c>
      <c r="W424" s="178">
        <v>42636</v>
      </c>
      <c r="X424" s="6">
        <v>763200</v>
      </c>
      <c r="Y424" s="6">
        <f t="shared" si="41"/>
        <v>0</v>
      </c>
    </row>
    <row r="425" spans="1:26" x14ac:dyDescent="0.25">
      <c r="A425" s="176" t="s">
        <v>4368</v>
      </c>
      <c r="B425" t="s">
        <v>90</v>
      </c>
      <c r="C425" t="s">
        <v>2663</v>
      </c>
      <c r="D425" t="s">
        <v>137</v>
      </c>
      <c r="E425" t="s">
        <v>430</v>
      </c>
      <c r="F425" t="s">
        <v>4367</v>
      </c>
      <c r="G425" t="s">
        <v>73</v>
      </c>
      <c r="H425" s="4" t="s">
        <v>245</v>
      </c>
      <c r="I425" t="s">
        <v>1276</v>
      </c>
      <c r="J425" t="s">
        <v>871</v>
      </c>
      <c r="K425" s="6">
        <v>270000</v>
      </c>
      <c r="L425" s="6">
        <f>N425*0.1</f>
        <v>30000</v>
      </c>
      <c r="M425" s="6">
        <f t="shared" si="42"/>
        <v>0</v>
      </c>
      <c r="N425" s="6">
        <v>300000</v>
      </c>
      <c r="O425" s="184" t="s">
        <v>4366</v>
      </c>
      <c r="P425" s="176" t="s">
        <v>4365</v>
      </c>
      <c r="Q425" t="s">
        <v>4364</v>
      </c>
      <c r="R425" t="s">
        <v>4363</v>
      </c>
      <c r="S425" s="178">
        <v>42394</v>
      </c>
      <c r="U425" t="s">
        <v>1775</v>
      </c>
      <c r="V425" s="178" t="s">
        <v>2571</v>
      </c>
      <c r="W425" s="178">
        <v>42394</v>
      </c>
      <c r="X425" s="6">
        <v>270000</v>
      </c>
      <c r="Y425" s="6">
        <f t="shared" si="41"/>
        <v>0</v>
      </c>
    </row>
    <row r="426" spans="1:26" x14ac:dyDescent="0.25">
      <c r="A426" s="176" t="s">
        <v>848</v>
      </c>
      <c r="B426" t="s">
        <v>18</v>
      </c>
      <c r="C426" t="s">
        <v>2663</v>
      </c>
      <c r="D426" t="s">
        <v>137</v>
      </c>
      <c r="E426" t="s">
        <v>4459</v>
      </c>
      <c r="F426" t="s">
        <v>1117</v>
      </c>
      <c r="G426" t="s">
        <v>73</v>
      </c>
      <c r="H426" s="4" t="s">
        <v>245</v>
      </c>
      <c r="I426" t="s">
        <v>1277</v>
      </c>
      <c r="J426" t="s">
        <v>882</v>
      </c>
      <c r="K426" s="6">
        <v>24800</v>
      </c>
      <c r="L426" s="6">
        <f>N426*0.2</f>
        <v>6200</v>
      </c>
      <c r="M426" s="6">
        <f t="shared" si="42"/>
        <v>0</v>
      </c>
      <c r="N426" s="6">
        <v>31000</v>
      </c>
      <c r="O426" s="184" t="s">
        <v>4458</v>
      </c>
      <c r="P426" s="176" t="s">
        <v>4457</v>
      </c>
      <c r="Q426" t="s">
        <v>4456</v>
      </c>
      <c r="R426" t="s">
        <v>1741</v>
      </c>
      <c r="S426" s="178">
        <v>42347</v>
      </c>
      <c r="U426" t="s">
        <v>1775</v>
      </c>
      <c r="V426" s="178" t="s">
        <v>2571</v>
      </c>
      <c r="W426" s="178">
        <v>42347</v>
      </c>
      <c r="X426" s="6">
        <v>24800</v>
      </c>
      <c r="Y426" s="6">
        <f t="shared" si="41"/>
        <v>0</v>
      </c>
    </row>
    <row r="427" spans="1:26" x14ac:dyDescent="0.25">
      <c r="A427" s="176" t="s">
        <v>2840</v>
      </c>
      <c r="B427" t="s">
        <v>18</v>
      </c>
      <c r="C427" t="s">
        <v>2663</v>
      </c>
      <c r="D427" s="4" t="s">
        <v>209</v>
      </c>
      <c r="E427" s="4" t="s">
        <v>2839</v>
      </c>
      <c r="F427" s="4" t="s">
        <v>2838</v>
      </c>
      <c r="G427" s="4" t="s">
        <v>177</v>
      </c>
      <c r="H427" s="4" t="s">
        <v>178</v>
      </c>
      <c r="I427" s="4" t="s">
        <v>2581</v>
      </c>
      <c r="J427" s="4" t="s">
        <v>877</v>
      </c>
      <c r="K427" s="6">
        <v>76800</v>
      </c>
      <c r="L427" s="6">
        <f>N427*0.2</f>
        <v>19200</v>
      </c>
      <c r="M427" s="6">
        <f t="shared" si="42"/>
        <v>0</v>
      </c>
      <c r="N427" s="6">
        <v>96000</v>
      </c>
      <c r="O427" s="184" t="s">
        <v>2837</v>
      </c>
      <c r="P427" s="176" t="s">
        <v>2836</v>
      </c>
      <c r="Q427" t="s">
        <v>2841</v>
      </c>
      <c r="R427" t="s">
        <v>2834</v>
      </c>
      <c r="S427" s="178">
        <v>42621</v>
      </c>
      <c r="U427" t="s">
        <v>1775</v>
      </c>
      <c r="V427" t="s">
        <v>2571</v>
      </c>
      <c r="W427" s="178">
        <v>42621</v>
      </c>
      <c r="X427" s="6">
        <v>76800</v>
      </c>
      <c r="Y427" s="6">
        <f t="shared" si="41"/>
        <v>0</v>
      </c>
    </row>
    <row r="428" spans="1:26" x14ac:dyDescent="0.25">
      <c r="A428" s="176" t="s">
        <v>2840</v>
      </c>
      <c r="B428" t="s">
        <v>18</v>
      </c>
      <c r="C428" t="s">
        <v>2663</v>
      </c>
      <c r="D428" s="4" t="s">
        <v>209</v>
      </c>
      <c r="E428" s="4" t="s">
        <v>2839</v>
      </c>
      <c r="F428" s="4" t="s">
        <v>2838</v>
      </c>
      <c r="G428" s="4" t="s">
        <v>72</v>
      </c>
      <c r="H428" s="4" t="s">
        <v>75</v>
      </c>
      <c r="I428" s="4" t="s">
        <v>2581</v>
      </c>
      <c r="J428" s="4" t="s">
        <v>877</v>
      </c>
      <c r="K428" s="6">
        <v>640000</v>
      </c>
      <c r="L428" s="6">
        <f>N428*0.2</f>
        <v>160000</v>
      </c>
      <c r="M428" s="6">
        <f t="shared" si="42"/>
        <v>0</v>
      </c>
      <c r="N428" s="6">
        <v>800000</v>
      </c>
      <c r="O428" s="184" t="s">
        <v>2837</v>
      </c>
      <c r="P428" s="176" t="s">
        <v>2836</v>
      </c>
      <c r="Q428" t="s">
        <v>2835</v>
      </c>
      <c r="R428" t="s">
        <v>2834</v>
      </c>
      <c r="S428" s="178">
        <v>42621</v>
      </c>
      <c r="T428" s="178">
        <v>42678</v>
      </c>
      <c r="U428" t="s">
        <v>1775</v>
      </c>
      <c r="V428" t="s">
        <v>2571</v>
      </c>
      <c r="W428" s="178">
        <v>42621</v>
      </c>
      <c r="X428" s="6">
        <v>640000</v>
      </c>
      <c r="Y428" s="6">
        <f t="shared" si="41"/>
        <v>0</v>
      </c>
    </row>
    <row r="429" spans="1:26" x14ac:dyDescent="0.25">
      <c r="A429" s="188" t="s">
        <v>3142</v>
      </c>
      <c r="B429" t="s">
        <v>18</v>
      </c>
      <c r="C429" s="61" t="s">
        <v>2663</v>
      </c>
      <c r="D429" s="61" t="s">
        <v>627</v>
      </c>
      <c r="E429" s="61" t="s">
        <v>3141</v>
      </c>
      <c r="F429" s="61" t="s">
        <v>3140</v>
      </c>
      <c r="G429" s="61" t="s">
        <v>177</v>
      </c>
      <c r="H429" s="15" t="s">
        <v>178</v>
      </c>
      <c r="I429" s="61" t="s">
        <v>2599</v>
      </c>
      <c r="J429" s="61" t="s">
        <v>881</v>
      </c>
      <c r="K429" s="183">
        <v>28846</v>
      </c>
      <c r="L429" s="183">
        <v>0</v>
      </c>
      <c r="M429" s="183">
        <f t="shared" si="42"/>
        <v>0</v>
      </c>
      <c r="N429" s="183">
        <v>28846</v>
      </c>
      <c r="O429" s="189" t="s">
        <v>3139</v>
      </c>
      <c r="P429" s="188" t="s">
        <v>3138</v>
      </c>
      <c r="Q429" s="61" t="s">
        <v>3143</v>
      </c>
      <c r="R429" s="61" t="s">
        <v>3136</v>
      </c>
      <c r="S429" s="185">
        <v>42586</v>
      </c>
      <c r="T429" s="61"/>
      <c r="U429" s="61" t="s">
        <v>1775</v>
      </c>
      <c r="V429" s="185" t="s">
        <v>2571</v>
      </c>
      <c r="W429" s="185">
        <v>42586</v>
      </c>
      <c r="X429" s="183">
        <v>28846</v>
      </c>
      <c r="Y429" s="183">
        <f t="shared" si="41"/>
        <v>0</v>
      </c>
      <c r="Z429" s="61"/>
    </row>
    <row r="430" spans="1:26" x14ac:dyDescent="0.25">
      <c r="A430" s="188" t="s">
        <v>3142</v>
      </c>
      <c r="B430" t="s">
        <v>18</v>
      </c>
      <c r="C430" s="61" t="s">
        <v>2663</v>
      </c>
      <c r="D430" s="61" t="s">
        <v>627</v>
      </c>
      <c r="E430" s="61" t="s">
        <v>3141</v>
      </c>
      <c r="F430" s="61" t="s">
        <v>3140</v>
      </c>
      <c r="G430" s="61" t="s">
        <v>72</v>
      </c>
      <c r="H430" s="15" t="s">
        <v>3118</v>
      </c>
      <c r="I430" s="61" t="s">
        <v>2599</v>
      </c>
      <c r="J430" s="61" t="s">
        <v>881</v>
      </c>
      <c r="K430" s="183">
        <v>192308</v>
      </c>
      <c r="L430" s="183">
        <v>0</v>
      </c>
      <c r="M430" s="183">
        <f t="shared" si="42"/>
        <v>0</v>
      </c>
      <c r="N430" s="183">
        <v>192308</v>
      </c>
      <c r="O430" s="189" t="s">
        <v>3139</v>
      </c>
      <c r="P430" s="188" t="s">
        <v>3138</v>
      </c>
      <c r="Q430" s="61" t="s">
        <v>3137</v>
      </c>
      <c r="R430" s="61" t="s">
        <v>3136</v>
      </c>
      <c r="S430" s="185">
        <v>42586</v>
      </c>
      <c r="T430" s="61"/>
      <c r="U430" s="61" t="s">
        <v>1775</v>
      </c>
      <c r="V430" s="185" t="s">
        <v>2571</v>
      </c>
      <c r="W430" s="185">
        <v>42586</v>
      </c>
      <c r="X430" s="183">
        <v>192308</v>
      </c>
      <c r="Y430" s="183">
        <f t="shared" si="41"/>
        <v>0</v>
      </c>
      <c r="Z430" s="61"/>
    </row>
    <row r="431" spans="1:26" x14ac:dyDescent="0.25">
      <c r="A431" s="188" t="s">
        <v>2896</v>
      </c>
      <c r="B431" t="s">
        <v>90</v>
      </c>
      <c r="C431" s="61" t="s">
        <v>2663</v>
      </c>
      <c r="D431" s="61" t="s">
        <v>622</v>
      </c>
      <c r="E431" s="61" t="s">
        <v>2895</v>
      </c>
      <c r="F431" s="15" t="s">
        <v>2894</v>
      </c>
      <c r="G431" s="61" t="s">
        <v>177</v>
      </c>
      <c r="H431" s="4" t="s">
        <v>178</v>
      </c>
      <c r="I431" s="4" t="s">
        <v>1276</v>
      </c>
      <c r="J431" s="4" t="s">
        <v>871</v>
      </c>
      <c r="K431" s="6">
        <v>184138</v>
      </c>
      <c r="L431" s="6">
        <f>N431*0.1</f>
        <v>20459.800000000003</v>
      </c>
      <c r="M431" s="6">
        <f t="shared" si="42"/>
        <v>0.20000000001164153</v>
      </c>
      <c r="N431" s="6">
        <v>204598</v>
      </c>
      <c r="O431" s="184" t="s">
        <v>2892</v>
      </c>
      <c r="P431" s="176" t="s">
        <v>2891</v>
      </c>
      <c r="Q431" s="21" t="s">
        <v>2890</v>
      </c>
      <c r="R431" t="s">
        <v>2889</v>
      </c>
      <c r="S431" s="178">
        <v>42531</v>
      </c>
      <c r="U431" t="s">
        <v>2570</v>
      </c>
      <c r="V431" s="178" t="s">
        <v>2604</v>
      </c>
      <c r="W431" s="178">
        <v>42620</v>
      </c>
      <c r="X431" s="6">
        <v>312300</v>
      </c>
      <c r="Y431" s="6">
        <f t="shared" si="41"/>
        <v>-128162</v>
      </c>
      <c r="Z431" s="61"/>
    </row>
    <row r="432" spans="1:26" ht="30" x14ac:dyDescent="0.25">
      <c r="A432" s="188" t="s">
        <v>2896</v>
      </c>
      <c r="B432" t="s">
        <v>90</v>
      </c>
      <c r="C432" s="61" t="s">
        <v>2663</v>
      </c>
      <c r="D432" s="61" t="s">
        <v>622</v>
      </c>
      <c r="E432" s="61" t="s">
        <v>2895</v>
      </c>
      <c r="F432" s="15" t="s">
        <v>2894</v>
      </c>
      <c r="G432" s="61" t="s">
        <v>72</v>
      </c>
      <c r="H432" s="4" t="s">
        <v>2893</v>
      </c>
      <c r="I432" s="4" t="s">
        <v>1276</v>
      </c>
      <c r="J432" s="4" t="s">
        <v>871</v>
      </c>
      <c r="K432" s="6">
        <f>2025521-K431</f>
        <v>1841383</v>
      </c>
      <c r="L432" s="6">
        <f>N432*0.1</f>
        <v>204929.6</v>
      </c>
      <c r="M432" s="6">
        <f t="shared" si="42"/>
        <v>2983.3999999999069</v>
      </c>
      <c r="N432" s="6">
        <f>2253894-N431</f>
        <v>2049296</v>
      </c>
      <c r="O432" s="184" t="s">
        <v>2892</v>
      </c>
      <c r="P432" s="176" t="s">
        <v>2891</v>
      </c>
      <c r="Q432" s="21" t="s">
        <v>2890</v>
      </c>
      <c r="R432" t="s">
        <v>2889</v>
      </c>
      <c r="S432" s="178">
        <v>42531</v>
      </c>
      <c r="U432" t="s">
        <v>2570</v>
      </c>
      <c r="V432" s="178" t="s">
        <v>2604</v>
      </c>
      <c r="W432" s="178">
        <v>42620</v>
      </c>
      <c r="X432" s="6">
        <v>2810700</v>
      </c>
      <c r="Y432" s="6">
        <f t="shared" si="41"/>
        <v>-969317</v>
      </c>
      <c r="Z432" s="61"/>
    </row>
    <row r="433" spans="1:26" ht="30" x14ac:dyDescent="0.25">
      <c r="A433" s="176" t="s">
        <v>2863</v>
      </c>
      <c r="B433" t="s">
        <v>90</v>
      </c>
      <c r="C433" s="61" t="s">
        <v>2663</v>
      </c>
      <c r="D433" s="186" t="s">
        <v>627</v>
      </c>
      <c r="E433" s="186" t="s">
        <v>2733</v>
      </c>
      <c r="F433" s="15" t="s">
        <v>2862</v>
      </c>
      <c r="G433" s="61" t="s">
        <v>177</v>
      </c>
      <c r="H433" s="4" t="s">
        <v>178</v>
      </c>
      <c r="I433" s="4" t="s">
        <v>1276</v>
      </c>
      <c r="J433" s="4" t="s">
        <v>871</v>
      </c>
      <c r="K433" s="6">
        <v>238953</v>
      </c>
      <c r="L433" s="6">
        <f>N433*0.1</f>
        <v>36190</v>
      </c>
      <c r="M433" s="6">
        <f t="shared" si="42"/>
        <v>86757</v>
      </c>
      <c r="N433" s="6">
        <v>361900</v>
      </c>
      <c r="O433" s="184" t="s">
        <v>2860</v>
      </c>
      <c r="P433" s="176" t="s">
        <v>2859</v>
      </c>
      <c r="Q433" s="21" t="s">
        <v>2858</v>
      </c>
      <c r="R433" t="s">
        <v>2857</v>
      </c>
      <c r="S433" s="178">
        <v>42531</v>
      </c>
      <c r="T433" s="178"/>
      <c r="U433" s="186" t="s">
        <v>2570</v>
      </c>
      <c r="V433" s="178" t="s">
        <v>2604</v>
      </c>
      <c r="W433" s="178">
        <v>42621</v>
      </c>
      <c r="X433" s="6">
        <v>325710</v>
      </c>
      <c r="Y433" s="6">
        <f t="shared" si="41"/>
        <v>-86757</v>
      </c>
    </row>
    <row r="434" spans="1:26" ht="45" x14ac:dyDescent="0.25">
      <c r="A434" s="176" t="s">
        <v>2863</v>
      </c>
      <c r="B434" t="s">
        <v>90</v>
      </c>
      <c r="C434" s="61" t="s">
        <v>2663</v>
      </c>
      <c r="D434" s="186" t="s">
        <v>627</v>
      </c>
      <c r="E434" s="186" t="s">
        <v>2733</v>
      </c>
      <c r="F434" s="15" t="s">
        <v>2862</v>
      </c>
      <c r="G434" s="61" t="s">
        <v>72</v>
      </c>
      <c r="H434" s="4" t="s">
        <v>2861</v>
      </c>
      <c r="I434" s="4" t="s">
        <v>1276</v>
      </c>
      <c r="J434" s="4" t="s">
        <v>871</v>
      </c>
      <c r="K434" s="6">
        <v>2389531</v>
      </c>
      <c r="L434" s="6">
        <f>N434*0.1</f>
        <v>325710</v>
      </c>
      <c r="M434" s="6">
        <f t="shared" si="42"/>
        <v>541859</v>
      </c>
      <c r="N434" s="6">
        <v>3257100</v>
      </c>
      <c r="O434" s="184" t="s">
        <v>2860</v>
      </c>
      <c r="P434" s="176" t="s">
        <v>2859</v>
      </c>
      <c r="Q434" s="21" t="s">
        <v>2858</v>
      </c>
      <c r="R434" t="s">
        <v>2857</v>
      </c>
      <c r="S434" s="178">
        <v>42531</v>
      </c>
      <c r="T434" s="178">
        <v>42580</v>
      </c>
      <c r="U434" s="186" t="s">
        <v>2570</v>
      </c>
      <c r="V434" s="178" t="s">
        <v>2604</v>
      </c>
      <c r="W434" s="178">
        <v>42621</v>
      </c>
      <c r="X434" s="6">
        <v>2931390</v>
      </c>
      <c r="Y434" s="6">
        <f t="shared" si="41"/>
        <v>-541859</v>
      </c>
    </row>
    <row r="435" spans="1:26" ht="30" x14ac:dyDescent="0.25">
      <c r="A435" s="176" t="s">
        <v>3693</v>
      </c>
      <c r="B435" t="s">
        <v>18</v>
      </c>
      <c r="C435" s="61" t="s">
        <v>2663</v>
      </c>
      <c r="D435" s="61" t="s">
        <v>2734</v>
      </c>
      <c r="E435" s="15" t="s">
        <v>3692</v>
      </c>
      <c r="F435" s="15" t="s">
        <v>3691</v>
      </c>
      <c r="G435" s="61" t="s">
        <v>177</v>
      </c>
      <c r="H435" s="4" t="s">
        <v>178</v>
      </c>
      <c r="I435" s="4" t="s">
        <v>2653</v>
      </c>
      <c r="J435" s="4" t="s">
        <v>3690</v>
      </c>
      <c r="K435" s="6">
        <v>6862</v>
      </c>
      <c r="L435" s="6">
        <f>K435*1.25-K435</f>
        <v>1715.5</v>
      </c>
      <c r="M435" s="6">
        <f t="shared" si="42"/>
        <v>4.5</v>
      </c>
      <c r="N435" s="6">
        <v>8582</v>
      </c>
      <c r="O435" s="184" t="s">
        <v>3689</v>
      </c>
      <c r="P435" s="176" t="s">
        <v>3688</v>
      </c>
      <c r="Q435" s="21" t="s">
        <v>3687</v>
      </c>
      <c r="R435" t="s">
        <v>3686</v>
      </c>
      <c r="S435" s="178">
        <v>42537</v>
      </c>
      <c r="U435" s="186" t="s">
        <v>1775</v>
      </c>
      <c r="V435" s="178" t="s">
        <v>2571</v>
      </c>
      <c r="W435" s="178">
        <v>42537</v>
      </c>
      <c r="X435" s="6">
        <v>6862</v>
      </c>
      <c r="Y435" s="6">
        <f t="shared" si="41"/>
        <v>0</v>
      </c>
    </row>
    <row r="436" spans="1:26" ht="30" x14ac:dyDescent="0.25">
      <c r="A436" s="176" t="s">
        <v>3693</v>
      </c>
      <c r="B436" t="s">
        <v>18</v>
      </c>
      <c r="C436" s="61" t="s">
        <v>2663</v>
      </c>
      <c r="D436" s="61" t="s">
        <v>2734</v>
      </c>
      <c r="E436" s="15" t="s">
        <v>3692</v>
      </c>
      <c r="F436" s="15" t="s">
        <v>3691</v>
      </c>
      <c r="G436" s="61" t="s">
        <v>72</v>
      </c>
      <c r="H436" s="4" t="s">
        <v>1901</v>
      </c>
      <c r="I436" s="4" t="s">
        <v>2653</v>
      </c>
      <c r="J436" s="4" t="s">
        <v>3690</v>
      </c>
      <c r="K436" s="6">
        <v>91200</v>
      </c>
      <c r="L436" s="6">
        <f>K436*1.25-K436</f>
        <v>22800</v>
      </c>
      <c r="M436" s="6">
        <f t="shared" si="42"/>
        <v>0</v>
      </c>
      <c r="N436" s="6">
        <v>114000</v>
      </c>
      <c r="O436" s="184" t="s">
        <v>3689</v>
      </c>
      <c r="P436" s="176" t="s">
        <v>3688</v>
      </c>
      <c r="Q436" s="21" t="s">
        <v>3687</v>
      </c>
      <c r="R436" t="s">
        <v>3686</v>
      </c>
      <c r="S436" s="178">
        <v>42537</v>
      </c>
      <c r="T436" s="178">
        <v>42580</v>
      </c>
      <c r="U436" s="186" t="s">
        <v>1775</v>
      </c>
      <c r="V436" s="178" t="s">
        <v>2571</v>
      </c>
      <c r="W436" s="178">
        <v>42537</v>
      </c>
      <c r="X436" s="6">
        <v>91200</v>
      </c>
      <c r="Y436" s="6">
        <f t="shared" si="41"/>
        <v>0</v>
      </c>
    </row>
    <row r="437" spans="1:26" ht="30" x14ac:dyDescent="0.25">
      <c r="A437" s="176" t="s">
        <v>2856</v>
      </c>
      <c r="B437" t="s">
        <v>18</v>
      </c>
      <c r="C437" t="s">
        <v>2663</v>
      </c>
      <c r="D437" s="4" t="s">
        <v>137</v>
      </c>
      <c r="E437" s="4" t="s">
        <v>2855</v>
      </c>
      <c r="F437" t="s">
        <v>2854</v>
      </c>
      <c r="G437" s="4" t="s">
        <v>212</v>
      </c>
      <c r="H437" s="4" t="s">
        <v>213</v>
      </c>
      <c r="I437" s="4" t="s">
        <v>2715</v>
      </c>
      <c r="J437" s="4" t="s">
        <v>888</v>
      </c>
      <c r="K437" s="6">
        <v>168400</v>
      </c>
      <c r="L437" s="6">
        <f>N437*0.2</f>
        <v>42100</v>
      </c>
      <c r="M437" s="6">
        <f t="shared" si="42"/>
        <v>0</v>
      </c>
      <c r="N437" s="6">
        <v>210500</v>
      </c>
      <c r="O437" s="184" t="s">
        <v>2853</v>
      </c>
      <c r="P437" s="176" t="s">
        <v>2852</v>
      </c>
      <c r="Q437" t="s">
        <v>2851</v>
      </c>
      <c r="R437" t="s">
        <v>2850</v>
      </c>
      <c r="S437" s="178">
        <v>42621</v>
      </c>
      <c r="U437" t="s">
        <v>1775</v>
      </c>
      <c r="V437" t="s">
        <v>2571</v>
      </c>
      <c r="W437" s="178">
        <v>42621</v>
      </c>
      <c r="X437" s="6">
        <v>168400</v>
      </c>
      <c r="Y437" s="6">
        <f t="shared" si="41"/>
        <v>0</v>
      </c>
    </row>
    <row r="438" spans="1:26" ht="30" x14ac:dyDescent="0.25">
      <c r="A438" s="188" t="s">
        <v>3577</v>
      </c>
      <c r="B438" t="s">
        <v>90</v>
      </c>
      <c r="C438" s="61" t="s">
        <v>2663</v>
      </c>
      <c r="D438" s="61" t="s">
        <v>2724</v>
      </c>
      <c r="E438" s="61" t="s">
        <v>233</v>
      </c>
      <c r="F438" s="15" t="s">
        <v>3576</v>
      </c>
      <c r="G438" s="61" t="s">
        <v>72</v>
      </c>
      <c r="H438" s="15" t="s">
        <v>3575</v>
      </c>
      <c r="I438" s="15" t="s">
        <v>1275</v>
      </c>
      <c r="J438" s="15" t="s">
        <v>873</v>
      </c>
      <c r="K438" s="183">
        <v>45000000</v>
      </c>
      <c r="L438" s="183">
        <f>N438*0.1</f>
        <v>5000000</v>
      </c>
      <c r="M438" s="183">
        <f t="shared" si="42"/>
        <v>0</v>
      </c>
      <c r="N438" s="183">
        <v>50000000</v>
      </c>
      <c r="O438" s="189" t="s">
        <v>3574</v>
      </c>
      <c r="P438" s="188" t="s">
        <v>3573</v>
      </c>
      <c r="Q438" s="187" t="s">
        <v>3572</v>
      </c>
      <c r="R438" s="61" t="s">
        <v>3571</v>
      </c>
      <c r="S438" s="185">
        <v>42545</v>
      </c>
      <c r="T438" s="61"/>
      <c r="U438" s="61" t="s">
        <v>1775</v>
      </c>
      <c r="V438" s="185" t="s">
        <v>2571</v>
      </c>
      <c r="W438" s="185">
        <v>42545</v>
      </c>
      <c r="X438" s="183">
        <v>45000000</v>
      </c>
      <c r="Y438" s="183">
        <f t="shared" si="41"/>
        <v>0</v>
      </c>
      <c r="Z438" s="61"/>
    </row>
    <row r="439" spans="1:26" ht="30" x14ac:dyDescent="0.25">
      <c r="A439" s="176" t="s">
        <v>2735</v>
      </c>
      <c r="B439" t="s">
        <v>18</v>
      </c>
      <c r="C439" t="s">
        <v>2663</v>
      </c>
      <c r="D439" s="4" t="s">
        <v>2734</v>
      </c>
      <c r="E439" s="4" t="s">
        <v>2733</v>
      </c>
      <c r="F439" s="4" t="s">
        <v>2732</v>
      </c>
      <c r="G439" s="4" t="s">
        <v>177</v>
      </c>
      <c r="H439" s="4" t="s">
        <v>178</v>
      </c>
      <c r="I439" s="4" t="s">
        <v>2581</v>
      </c>
      <c r="J439" s="4" t="s">
        <v>877</v>
      </c>
      <c r="K439" s="6">
        <v>86800</v>
      </c>
      <c r="L439" s="6">
        <f>N439*0.2</f>
        <v>24880</v>
      </c>
      <c r="M439" s="6">
        <f t="shared" si="42"/>
        <v>12720</v>
      </c>
      <c r="N439" s="6">
        <v>124400</v>
      </c>
      <c r="O439" s="184" t="s">
        <v>2730</v>
      </c>
      <c r="P439" s="176" t="s">
        <v>2729</v>
      </c>
      <c r="Q439" t="s">
        <v>2736</v>
      </c>
      <c r="R439" t="s">
        <v>2727</v>
      </c>
      <c r="S439" s="178">
        <v>42633</v>
      </c>
      <c r="U439" t="s">
        <v>1775</v>
      </c>
      <c r="V439" t="s">
        <v>2571</v>
      </c>
      <c r="W439" s="178">
        <v>42633</v>
      </c>
      <c r="X439" s="6">
        <v>86800</v>
      </c>
      <c r="Y439" s="6">
        <f t="shared" si="41"/>
        <v>0</v>
      </c>
    </row>
    <row r="440" spans="1:26" ht="30" x14ac:dyDescent="0.25">
      <c r="A440" s="176" t="s">
        <v>2735</v>
      </c>
      <c r="B440" t="s">
        <v>18</v>
      </c>
      <c r="C440" t="s">
        <v>2663</v>
      </c>
      <c r="D440" s="4" t="s">
        <v>2734</v>
      </c>
      <c r="E440" s="4" t="s">
        <v>2733</v>
      </c>
      <c r="F440" s="4" t="s">
        <v>2732</v>
      </c>
      <c r="G440" s="4" t="s">
        <v>72</v>
      </c>
      <c r="H440" s="4" t="s">
        <v>2731</v>
      </c>
      <c r="I440" s="4" t="s">
        <v>2581</v>
      </c>
      <c r="J440" s="4" t="s">
        <v>877</v>
      </c>
      <c r="K440" s="6">
        <v>1208960</v>
      </c>
      <c r="L440" s="6">
        <f>N440*0.2</f>
        <v>325307.2</v>
      </c>
      <c r="M440" s="6">
        <f t="shared" si="42"/>
        <v>92268.800000000047</v>
      </c>
      <c r="N440" s="6">
        <v>1626536</v>
      </c>
      <c r="O440" s="184" t="s">
        <v>2730</v>
      </c>
      <c r="P440" s="176" t="s">
        <v>2729</v>
      </c>
      <c r="Q440" t="s">
        <v>2728</v>
      </c>
      <c r="R440" t="s">
        <v>2727</v>
      </c>
      <c r="S440" s="178">
        <v>42633</v>
      </c>
      <c r="U440" t="s">
        <v>1775</v>
      </c>
      <c r="V440" t="s">
        <v>2571</v>
      </c>
      <c r="W440" s="178">
        <v>42633</v>
      </c>
      <c r="X440" s="6">
        <v>1208960</v>
      </c>
      <c r="Y440" s="6">
        <f t="shared" si="41"/>
        <v>0</v>
      </c>
    </row>
    <row r="441" spans="1:26" x14ac:dyDescent="0.25">
      <c r="A441" s="188" t="s">
        <v>3700</v>
      </c>
      <c r="B441" t="s">
        <v>18</v>
      </c>
      <c r="C441" s="61" t="s">
        <v>2663</v>
      </c>
      <c r="D441" s="61" t="s">
        <v>3699</v>
      </c>
      <c r="E441" s="61" t="s">
        <v>41</v>
      </c>
      <c r="F441" s="15" t="s">
        <v>3698</v>
      </c>
      <c r="G441" s="61" t="s">
        <v>177</v>
      </c>
      <c r="H441" s="4" t="s">
        <v>178</v>
      </c>
      <c r="I441" s="4" t="s">
        <v>2599</v>
      </c>
      <c r="J441" s="4" t="s">
        <v>881</v>
      </c>
      <c r="K441" s="6">
        <v>11200</v>
      </c>
      <c r="L441" s="6">
        <f>K441*1.25-K441</f>
        <v>2800</v>
      </c>
      <c r="M441" s="6">
        <f t="shared" si="42"/>
        <v>0</v>
      </c>
      <c r="N441" s="6">
        <v>14000</v>
      </c>
      <c r="O441" s="184" t="s">
        <v>3697</v>
      </c>
      <c r="P441" s="176" t="s">
        <v>3696</v>
      </c>
      <c r="Q441" s="21" t="s">
        <v>3701</v>
      </c>
      <c r="R441" t="s">
        <v>3694</v>
      </c>
      <c r="S441" s="178">
        <v>42537</v>
      </c>
      <c r="U441" s="186" t="s">
        <v>1775</v>
      </c>
      <c r="V441" s="178" t="s">
        <v>2571</v>
      </c>
      <c r="W441" s="178">
        <v>42537</v>
      </c>
      <c r="X441" s="6">
        <v>11200</v>
      </c>
      <c r="Y441" s="6">
        <f t="shared" si="41"/>
        <v>0</v>
      </c>
      <c r="Z441" s="61"/>
    </row>
    <row r="442" spans="1:26" x14ac:dyDescent="0.25">
      <c r="A442" s="188" t="s">
        <v>3700</v>
      </c>
      <c r="B442" t="s">
        <v>18</v>
      </c>
      <c r="C442" s="61" t="s">
        <v>2663</v>
      </c>
      <c r="D442" s="61" t="s">
        <v>3699</v>
      </c>
      <c r="E442" s="61" t="s">
        <v>41</v>
      </c>
      <c r="F442" s="15" t="s">
        <v>3698</v>
      </c>
      <c r="G442" s="61" t="s">
        <v>72</v>
      </c>
      <c r="H442" s="4" t="s">
        <v>3118</v>
      </c>
      <c r="I442" s="4" t="s">
        <v>2599</v>
      </c>
      <c r="J442" s="4" t="s">
        <v>881</v>
      </c>
      <c r="K442" s="6">
        <v>130800</v>
      </c>
      <c r="L442" s="6">
        <f>K442*1.25-K442</f>
        <v>32700</v>
      </c>
      <c r="M442" s="6">
        <f t="shared" si="42"/>
        <v>0</v>
      </c>
      <c r="N442" s="6">
        <v>163500</v>
      </c>
      <c r="O442" s="184" t="s">
        <v>3697</v>
      </c>
      <c r="P442" s="176" t="s">
        <v>3696</v>
      </c>
      <c r="Q442" s="21" t="s">
        <v>3695</v>
      </c>
      <c r="R442" t="s">
        <v>3694</v>
      </c>
      <c r="S442" s="178">
        <v>42537</v>
      </c>
      <c r="T442" s="178">
        <v>42580</v>
      </c>
      <c r="U442" s="186" t="s">
        <v>1775</v>
      </c>
      <c r="V442" s="178" t="s">
        <v>2571</v>
      </c>
      <c r="W442" s="178">
        <v>42537</v>
      </c>
      <c r="X442" s="6">
        <v>130800</v>
      </c>
      <c r="Y442" s="6">
        <f t="shared" si="41"/>
        <v>0</v>
      </c>
      <c r="Z442" s="61"/>
    </row>
    <row r="443" spans="1:26" ht="30" x14ac:dyDescent="0.25">
      <c r="A443" s="188" t="s">
        <v>3564</v>
      </c>
      <c r="B443" t="s">
        <v>18</v>
      </c>
      <c r="C443" s="61" t="s">
        <v>2663</v>
      </c>
      <c r="D443" s="61" t="s">
        <v>3563</v>
      </c>
      <c r="E443" s="15" t="s">
        <v>981</v>
      </c>
      <c r="F443" s="15" t="s">
        <v>3562</v>
      </c>
      <c r="G443" s="61" t="s">
        <v>72</v>
      </c>
      <c r="H443" s="15" t="s">
        <v>3561</v>
      </c>
      <c r="I443" s="15" t="s">
        <v>2581</v>
      </c>
      <c r="J443" s="15" t="s">
        <v>877</v>
      </c>
      <c r="K443" s="183">
        <v>2000000</v>
      </c>
      <c r="L443" s="183">
        <f>K443*1.25-K443</f>
        <v>500000</v>
      </c>
      <c r="M443" s="183">
        <f t="shared" si="42"/>
        <v>1470000</v>
      </c>
      <c r="N443" s="183">
        <v>3970000</v>
      </c>
      <c r="O443" s="189" t="s">
        <v>3560</v>
      </c>
      <c r="P443" s="188" t="s">
        <v>3559</v>
      </c>
      <c r="Q443" s="187" t="s">
        <v>3558</v>
      </c>
      <c r="R443" s="61" t="s">
        <v>3557</v>
      </c>
      <c r="S443" s="185">
        <v>42545</v>
      </c>
      <c r="T443" s="185">
        <v>42580</v>
      </c>
      <c r="U443" s="186" t="s">
        <v>1775</v>
      </c>
      <c r="V443" s="185" t="s">
        <v>2571</v>
      </c>
      <c r="W443" s="185">
        <v>42545</v>
      </c>
      <c r="X443" s="183">
        <v>2000000</v>
      </c>
      <c r="Y443" s="183">
        <f t="shared" si="41"/>
        <v>0</v>
      </c>
      <c r="Z443" s="61"/>
    </row>
    <row r="444" spans="1:26" x14ac:dyDescent="0.25">
      <c r="A444" s="176" t="s">
        <v>4171</v>
      </c>
      <c r="B444" t="s">
        <v>18</v>
      </c>
      <c r="C444" t="s">
        <v>2663</v>
      </c>
      <c r="D444" t="s">
        <v>4170</v>
      </c>
      <c r="E444" t="s">
        <v>41</v>
      </c>
      <c r="F444" t="s">
        <v>4169</v>
      </c>
      <c r="G444" t="s">
        <v>177</v>
      </c>
      <c r="H444" s="4" t="s">
        <v>178</v>
      </c>
      <c r="I444" t="s">
        <v>2599</v>
      </c>
      <c r="J444" t="s">
        <v>881</v>
      </c>
      <c r="K444" s="6">
        <v>12816</v>
      </c>
      <c r="L444" s="6">
        <f>N444*0.2</f>
        <v>3204</v>
      </c>
      <c r="M444" s="6">
        <f t="shared" si="42"/>
        <v>0</v>
      </c>
      <c r="N444" s="6">
        <v>16020</v>
      </c>
      <c r="O444" s="184" t="s">
        <v>4167</v>
      </c>
      <c r="P444" s="176" t="s">
        <v>4166</v>
      </c>
      <c r="Q444" t="s">
        <v>4172</v>
      </c>
      <c r="R444" t="s">
        <v>4164</v>
      </c>
      <c r="S444" s="178">
        <v>42439</v>
      </c>
      <c r="U444" t="s">
        <v>1775</v>
      </c>
      <c r="V444" s="178" t="s">
        <v>2571</v>
      </c>
      <c r="W444" s="178">
        <v>42439</v>
      </c>
      <c r="X444" s="6">
        <v>12816</v>
      </c>
      <c r="Y444" s="6">
        <f t="shared" si="41"/>
        <v>0</v>
      </c>
    </row>
    <row r="445" spans="1:26" ht="45" x14ac:dyDescent="0.25">
      <c r="A445" s="176" t="s">
        <v>4171</v>
      </c>
      <c r="B445" t="s">
        <v>18</v>
      </c>
      <c r="C445" t="s">
        <v>2663</v>
      </c>
      <c r="D445" t="s">
        <v>4170</v>
      </c>
      <c r="E445" t="s">
        <v>41</v>
      </c>
      <c r="F445" t="s">
        <v>4169</v>
      </c>
      <c r="G445" t="s">
        <v>72</v>
      </c>
      <c r="H445" s="4" t="s">
        <v>4168</v>
      </c>
      <c r="I445" t="s">
        <v>2599</v>
      </c>
      <c r="J445" t="s">
        <v>881</v>
      </c>
      <c r="K445" s="6">
        <v>128160</v>
      </c>
      <c r="L445" s="6">
        <f>N445*0.2</f>
        <v>32040</v>
      </c>
      <c r="M445" s="6">
        <f t="shared" si="42"/>
        <v>0</v>
      </c>
      <c r="N445" s="6">
        <v>160200</v>
      </c>
      <c r="O445" s="184" t="s">
        <v>4167</v>
      </c>
      <c r="P445" s="176" t="s">
        <v>4166</v>
      </c>
      <c r="Q445" t="s">
        <v>4165</v>
      </c>
      <c r="R445" t="s">
        <v>4164</v>
      </c>
      <c r="S445" s="178">
        <v>42439</v>
      </c>
      <c r="U445" t="s">
        <v>1775</v>
      </c>
      <c r="V445" s="178" t="s">
        <v>2571</v>
      </c>
      <c r="W445" s="178">
        <v>42439</v>
      </c>
      <c r="X445" s="6">
        <v>128160</v>
      </c>
      <c r="Y445" s="6">
        <f t="shared" si="41"/>
        <v>0</v>
      </c>
    </row>
    <row r="446" spans="1:26" x14ac:dyDescent="0.25">
      <c r="A446" s="188" t="s">
        <v>3128</v>
      </c>
      <c r="B446" t="s">
        <v>18</v>
      </c>
      <c r="C446" s="61" t="s">
        <v>2663</v>
      </c>
      <c r="D446" s="61" t="s">
        <v>209</v>
      </c>
      <c r="E446" s="61" t="s">
        <v>41</v>
      </c>
      <c r="F446" s="61" t="s">
        <v>209</v>
      </c>
      <c r="G446" s="61" t="s">
        <v>177</v>
      </c>
      <c r="H446" s="15" t="s">
        <v>178</v>
      </c>
      <c r="I446" s="61" t="s">
        <v>2599</v>
      </c>
      <c r="J446" s="61" t="s">
        <v>881</v>
      </c>
      <c r="K446" s="183">
        <v>14545</v>
      </c>
      <c r="L446" s="183">
        <f>K446*1.25-K446</f>
        <v>3636.25</v>
      </c>
      <c r="M446" s="183">
        <v>0</v>
      </c>
      <c r="N446" s="183">
        <v>18182</v>
      </c>
      <c r="O446" s="189" t="s">
        <v>3126</v>
      </c>
      <c r="P446" s="188" t="s">
        <v>3125</v>
      </c>
      <c r="Q446" s="61" t="s">
        <v>3129</v>
      </c>
      <c r="R446" s="61" t="s">
        <v>3123</v>
      </c>
      <c r="S446" s="185">
        <v>42586</v>
      </c>
      <c r="T446" s="61"/>
      <c r="U446" s="61" t="s">
        <v>1775</v>
      </c>
      <c r="V446" s="185" t="s">
        <v>2571</v>
      </c>
      <c r="W446" s="185">
        <v>42586</v>
      </c>
      <c r="X446" s="183">
        <v>14545</v>
      </c>
      <c r="Y446" s="183">
        <f t="shared" si="41"/>
        <v>0</v>
      </c>
      <c r="Z446" s="61"/>
    </row>
    <row r="447" spans="1:26" x14ac:dyDescent="0.25">
      <c r="A447" s="188" t="s">
        <v>3128</v>
      </c>
      <c r="B447" t="s">
        <v>18</v>
      </c>
      <c r="C447" s="61" t="s">
        <v>2663</v>
      </c>
      <c r="D447" s="61" t="s">
        <v>209</v>
      </c>
      <c r="E447" s="61" t="s">
        <v>41</v>
      </c>
      <c r="F447" s="61" t="s">
        <v>209</v>
      </c>
      <c r="G447" s="61" t="s">
        <v>72</v>
      </c>
      <c r="H447" s="15" t="s">
        <v>3127</v>
      </c>
      <c r="I447" s="61" t="s">
        <v>2599</v>
      </c>
      <c r="J447" s="61" t="s">
        <v>881</v>
      </c>
      <c r="K447" s="183">
        <v>145455</v>
      </c>
      <c r="L447" s="183">
        <f>K447*1.25-K447</f>
        <v>36363.75</v>
      </c>
      <c r="M447" s="183">
        <v>0</v>
      </c>
      <c r="N447" s="183">
        <v>181818</v>
      </c>
      <c r="O447" s="189" t="s">
        <v>3126</v>
      </c>
      <c r="P447" s="188" t="s">
        <v>3125</v>
      </c>
      <c r="Q447" s="61" t="s">
        <v>3124</v>
      </c>
      <c r="R447" s="61" t="s">
        <v>3123</v>
      </c>
      <c r="S447" s="185">
        <v>42586</v>
      </c>
      <c r="T447" s="61"/>
      <c r="U447" s="61" t="s">
        <v>1775</v>
      </c>
      <c r="V447" s="185" t="s">
        <v>2571</v>
      </c>
      <c r="W447" s="185">
        <v>42586</v>
      </c>
      <c r="X447" s="183">
        <v>145455</v>
      </c>
      <c r="Y447" s="183">
        <f t="shared" si="41"/>
        <v>0</v>
      </c>
      <c r="Z447" s="61"/>
    </row>
    <row r="448" spans="1:26" x14ac:dyDescent="0.25">
      <c r="A448" s="176" t="s">
        <v>4602</v>
      </c>
      <c r="B448" t="s">
        <v>18</v>
      </c>
      <c r="C448" t="s">
        <v>2663</v>
      </c>
      <c r="D448" t="s">
        <v>4601</v>
      </c>
      <c r="E448" t="s">
        <v>4600</v>
      </c>
      <c r="F448" t="s">
        <v>4599</v>
      </c>
      <c r="G448" s="186" t="s">
        <v>117</v>
      </c>
      <c r="H448" s="16" t="s">
        <v>119</v>
      </c>
      <c r="I448" t="s">
        <v>1277</v>
      </c>
      <c r="J448" s="186" t="s">
        <v>877</v>
      </c>
      <c r="K448" s="6">
        <v>94917</v>
      </c>
      <c r="L448" s="6">
        <f>N448*0.2</f>
        <v>23729.200000000001</v>
      </c>
      <c r="M448" s="6">
        <f t="shared" ref="M448:M471" si="45">N448-(K448+L448)</f>
        <v>-0.19999999999708962</v>
      </c>
      <c r="N448" s="6">
        <v>118646</v>
      </c>
      <c r="O448" s="184" t="s">
        <v>4598</v>
      </c>
      <c r="P448" s="176" t="s">
        <v>4597</v>
      </c>
      <c r="Q448" t="s">
        <v>4596</v>
      </c>
      <c r="R448" t="s">
        <v>4595</v>
      </c>
      <c r="S448" s="178">
        <v>42314</v>
      </c>
      <c r="U448" s="186" t="s">
        <v>1775</v>
      </c>
      <c r="V448" s="178" t="s">
        <v>2571</v>
      </c>
      <c r="W448" s="178">
        <v>42314</v>
      </c>
      <c r="X448" s="6">
        <v>94917</v>
      </c>
      <c r="Y448" s="6">
        <f t="shared" si="41"/>
        <v>0</v>
      </c>
    </row>
    <row r="449" spans="1:26" x14ac:dyDescent="0.25">
      <c r="A449" s="176" t="s">
        <v>4337</v>
      </c>
      <c r="B449" t="s">
        <v>18</v>
      </c>
      <c r="C449" t="s">
        <v>2663</v>
      </c>
      <c r="D449" t="s">
        <v>925</v>
      </c>
      <c r="E449" t="s">
        <v>4336</v>
      </c>
      <c r="F449" t="s">
        <v>4335</v>
      </c>
      <c r="G449" t="s">
        <v>212</v>
      </c>
      <c r="H449" s="4" t="s">
        <v>213</v>
      </c>
      <c r="I449" t="s">
        <v>2581</v>
      </c>
      <c r="J449" t="s">
        <v>877</v>
      </c>
      <c r="K449" s="6">
        <v>77734</v>
      </c>
      <c r="L449" s="6">
        <f>N449*0.2</f>
        <v>19433.600000000002</v>
      </c>
      <c r="M449" s="6">
        <f t="shared" si="45"/>
        <v>0.39999999999417923</v>
      </c>
      <c r="N449" s="6">
        <v>97168</v>
      </c>
      <c r="O449" s="184" t="s">
        <v>4334</v>
      </c>
      <c r="P449" s="176" t="s">
        <v>4333</v>
      </c>
      <c r="Q449" t="s">
        <v>4332</v>
      </c>
      <c r="R449" t="s">
        <v>4331</v>
      </c>
      <c r="S449" s="178">
        <v>42395</v>
      </c>
      <c r="U449" t="s">
        <v>1775</v>
      </c>
      <c r="V449" s="178" t="s">
        <v>2571</v>
      </c>
      <c r="W449" s="178">
        <v>42395</v>
      </c>
      <c r="X449" s="6">
        <v>77734</v>
      </c>
      <c r="Y449" s="6">
        <f t="shared" si="41"/>
        <v>0</v>
      </c>
    </row>
    <row r="450" spans="1:26" x14ac:dyDescent="0.25">
      <c r="A450" s="176" t="s">
        <v>3512</v>
      </c>
      <c r="B450" t="s">
        <v>18</v>
      </c>
      <c r="C450" t="s">
        <v>2663</v>
      </c>
      <c r="D450" t="s">
        <v>925</v>
      </c>
      <c r="E450" t="s">
        <v>3511</v>
      </c>
      <c r="F450" t="s">
        <v>3510</v>
      </c>
      <c r="G450" t="s">
        <v>117</v>
      </c>
      <c r="H450" s="4" t="s">
        <v>119</v>
      </c>
      <c r="I450" t="s">
        <v>1277</v>
      </c>
      <c r="J450" t="s">
        <v>877</v>
      </c>
      <c r="K450" s="6">
        <v>148726</v>
      </c>
      <c r="L450" s="6">
        <f>N450*0.2</f>
        <v>37181.4</v>
      </c>
      <c r="M450" s="6">
        <f t="shared" si="45"/>
        <v>-0.39999999999417923</v>
      </c>
      <c r="N450" s="6">
        <v>185907</v>
      </c>
      <c r="O450" s="184" t="s">
        <v>3509</v>
      </c>
      <c r="P450" s="176" t="s">
        <v>3508</v>
      </c>
      <c r="Q450" t="s">
        <v>3507</v>
      </c>
      <c r="R450" t="s">
        <v>3506</v>
      </c>
      <c r="S450" s="178">
        <v>42317</v>
      </c>
      <c r="U450" s="186" t="s">
        <v>2301</v>
      </c>
      <c r="V450" s="178" t="s">
        <v>2604</v>
      </c>
      <c r="W450" s="178">
        <v>42565</v>
      </c>
      <c r="X450" s="6">
        <v>148726</v>
      </c>
      <c r="Y450" s="6">
        <f t="shared" si="41"/>
        <v>0</v>
      </c>
    </row>
    <row r="451" spans="1:26" x14ac:dyDescent="0.25">
      <c r="A451" s="188" t="s">
        <v>3917</v>
      </c>
      <c r="B451" t="s">
        <v>18</v>
      </c>
      <c r="C451" t="s">
        <v>2663</v>
      </c>
      <c r="D451" t="s">
        <v>607</v>
      </c>
      <c r="E451" t="s">
        <v>3916</v>
      </c>
      <c r="F451" s="4" t="s">
        <v>3915</v>
      </c>
      <c r="G451" t="s">
        <v>212</v>
      </c>
      <c r="H451" s="4" t="s">
        <v>213</v>
      </c>
      <c r="I451" s="4" t="s">
        <v>2653</v>
      </c>
      <c r="J451" s="4" t="s">
        <v>893</v>
      </c>
      <c r="K451" s="6">
        <v>20788</v>
      </c>
      <c r="L451" s="6">
        <f>K451*1.25-K451</f>
        <v>5197</v>
      </c>
      <c r="M451" s="6">
        <f t="shared" si="45"/>
        <v>0</v>
      </c>
      <c r="N451" s="6">
        <v>25985</v>
      </c>
      <c r="O451" s="184" t="s">
        <v>3914</v>
      </c>
      <c r="P451" s="176" t="s">
        <v>3913</v>
      </c>
      <c r="Q451" s="21" t="s">
        <v>3912</v>
      </c>
      <c r="R451" t="s">
        <v>3911</v>
      </c>
      <c r="S451" s="178">
        <v>42506</v>
      </c>
      <c r="U451" t="s">
        <v>1775</v>
      </c>
      <c r="V451" s="178" t="s">
        <v>2571</v>
      </c>
      <c r="W451" s="178">
        <v>42506</v>
      </c>
      <c r="X451" s="6">
        <v>20788</v>
      </c>
      <c r="Y451" s="6">
        <f t="shared" si="41"/>
        <v>0</v>
      </c>
      <c r="Z451" s="61"/>
    </row>
    <row r="452" spans="1:26" x14ac:dyDescent="0.25">
      <c r="A452" s="188" t="s">
        <v>3753</v>
      </c>
      <c r="B452" t="s">
        <v>18</v>
      </c>
      <c r="C452" t="s">
        <v>2663</v>
      </c>
      <c r="D452" t="s">
        <v>3484</v>
      </c>
      <c r="E452" t="s">
        <v>3752</v>
      </c>
      <c r="F452" s="4" t="s">
        <v>3751</v>
      </c>
      <c r="G452" t="s">
        <v>117</v>
      </c>
      <c r="H452" s="4" t="s">
        <v>119</v>
      </c>
      <c r="I452" s="4" t="s">
        <v>2581</v>
      </c>
      <c r="J452" s="4" t="s">
        <v>877</v>
      </c>
      <c r="K452" s="6">
        <v>130000</v>
      </c>
      <c r="L452" s="6">
        <f>K452*1.25-K452</f>
        <v>32500</v>
      </c>
      <c r="M452" s="6">
        <f t="shared" si="45"/>
        <v>4517</v>
      </c>
      <c r="N452" s="6">
        <v>167017</v>
      </c>
      <c r="O452" s="184" t="s">
        <v>3750</v>
      </c>
      <c r="P452" s="176" t="s">
        <v>3749</v>
      </c>
      <c r="Q452" s="21" t="s">
        <v>3748</v>
      </c>
      <c r="R452" t="s">
        <v>3747</v>
      </c>
      <c r="S452" s="178">
        <v>42531</v>
      </c>
      <c r="U452" t="s">
        <v>1775</v>
      </c>
      <c r="V452" s="178" t="s">
        <v>2571</v>
      </c>
      <c r="W452" s="178">
        <v>42531</v>
      </c>
      <c r="X452" s="6">
        <v>130000</v>
      </c>
      <c r="Y452" s="6">
        <f t="shared" si="41"/>
        <v>0</v>
      </c>
      <c r="Z452" s="61"/>
    </row>
    <row r="453" spans="1:26" x14ac:dyDescent="0.25">
      <c r="A453" s="188" t="s">
        <v>3569</v>
      </c>
      <c r="B453" t="s">
        <v>90</v>
      </c>
      <c r="C453" s="61" t="s">
        <v>2663</v>
      </c>
      <c r="D453" s="61" t="s">
        <v>3484</v>
      </c>
      <c r="E453" s="61" t="s">
        <v>483</v>
      </c>
      <c r="F453" s="15" t="s">
        <v>3510</v>
      </c>
      <c r="G453" s="61" t="s">
        <v>177</v>
      </c>
      <c r="H453" s="15" t="s">
        <v>178</v>
      </c>
      <c r="I453" s="15" t="s">
        <v>1275</v>
      </c>
      <c r="J453" s="15" t="s">
        <v>873</v>
      </c>
      <c r="K453" s="183">
        <v>40000</v>
      </c>
      <c r="L453" s="183">
        <f>K453*1.25-K453</f>
        <v>10000</v>
      </c>
      <c r="M453" s="183">
        <f t="shared" si="45"/>
        <v>0</v>
      </c>
      <c r="N453" s="183">
        <v>50000</v>
      </c>
      <c r="O453" s="189" t="s">
        <v>3568</v>
      </c>
      <c r="P453" s="188" t="s">
        <v>3567</v>
      </c>
      <c r="Q453" s="187" t="s">
        <v>3570</v>
      </c>
      <c r="R453" s="61" t="s">
        <v>3565</v>
      </c>
      <c r="S453" s="185">
        <v>42545</v>
      </c>
      <c r="T453" s="61"/>
      <c r="U453" s="186" t="s">
        <v>1775</v>
      </c>
      <c r="V453" s="185" t="s">
        <v>2571</v>
      </c>
      <c r="W453" s="185">
        <v>42545</v>
      </c>
      <c r="X453" s="183">
        <v>40000</v>
      </c>
      <c r="Y453" s="183">
        <f t="shared" si="41"/>
        <v>0</v>
      </c>
      <c r="Z453" s="61"/>
    </row>
    <row r="454" spans="1:26" x14ac:dyDescent="0.25">
      <c r="A454" s="188" t="s">
        <v>3569</v>
      </c>
      <c r="B454" t="s">
        <v>90</v>
      </c>
      <c r="C454" s="61" t="s">
        <v>2663</v>
      </c>
      <c r="D454" s="61" t="s">
        <v>3484</v>
      </c>
      <c r="E454" s="61" t="s">
        <v>483</v>
      </c>
      <c r="F454" s="15" t="s">
        <v>3510</v>
      </c>
      <c r="G454" s="61" t="s">
        <v>72</v>
      </c>
      <c r="H454" s="15" t="s">
        <v>651</v>
      </c>
      <c r="I454" s="15" t="s">
        <v>1275</v>
      </c>
      <c r="J454" s="15" t="s">
        <v>873</v>
      </c>
      <c r="K454" s="183">
        <v>360000</v>
      </c>
      <c r="L454" s="183">
        <f>K454*1.25-K454</f>
        <v>90000</v>
      </c>
      <c r="M454" s="183">
        <f t="shared" si="45"/>
        <v>0</v>
      </c>
      <c r="N454" s="183">
        <v>450000</v>
      </c>
      <c r="O454" s="189" t="s">
        <v>3568</v>
      </c>
      <c r="P454" s="188" t="s">
        <v>3567</v>
      </c>
      <c r="Q454" s="187" t="s">
        <v>3566</v>
      </c>
      <c r="R454" s="61" t="s">
        <v>3565</v>
      </c>
      <c r="S454" s="185">
        <v>42545</v>
      </c>
      <c r="T454" s="185">
        <v>42580</v>
      </c>
      <c r="U454" s="186" t="s">
        <v>1775</v>
      </c>
      <c r="V454" s="185" t="s">
        <v>2571</v>
      </c>
      <c r="W454" s="185">
        <v>42545</v>
      </c>
      <c r="X454" s="183">
        <v>360000</v>
      </c>
      <c r="Y454" s="183">
        <f t="shared" si="41"/>
        <v>0</v>
      </c>
      <c r="Z454" s="61"/>
    </row>
    <row r="455" spans="1:26" x14ac:dyDescent="0.25">
      <c r="A455" s="176" t="s">
        <v>3318</v>
      </c>
      <c r="B455" t="s">
        <v>18</v>
      </c>
      <c r="C455" t="s">
        <v>2663</v>
      </c>
      <c r="D455" t="s">
        <v>236</v>
      </c>
      <c r="E455" t="s">
        <v>3317</v>
      </c>
      <c r="F455" t="s">
        <v>3317</v>
      </c>
      <c r="G455" t="s">
        <v>72</v>
      </c>
      <c r="H455" s="4" t="s">
        <v>2257</v>
      </c>
      <c r="I455" t="s">
        <v>3316</v>
      </c>
      <c r="J455" t="s">
        <v>3315</v>
      </c>
      <c r="K455" s="6">
        <v>200000</v>
      </c>
      <c r="L455" s="6">
        <f>N455*0.2</f>
        <v>50000</v>
      </c>
      <c r="M455" s="6">
        <f t="shared" si="45"/>
        <v>0</v>
      </c>
      <c r="N455" s="6">
        <v>250000</v>
      </c>
      <c r="O455" s="184" t="s">
        <v>3314</v>
      </c>
      <c r="P455" s="176" t="s">
        <v>3313</v>
      </c>
      <c r="Q455" t="s">
        <v>3312</v>
      </c>
      <c r="R455" s="4" t="s">
        <v>3311</v>
      </c>
      <c r="S455" s="178">
        <v>42436</v>
      </c>
      <c r="U455" t="s">
        <v>2301</v>
      </c>
      <c r="V455" s="178" t="s">
        <v>2604</v>
      </c>
      <c r="W455" s="178">
        <v>42571</v>
      </c>
      <c r="X455" s="6">
        <v>200000</v>
      </c>
      <c r="Y455" s="6">
        <f t="shared" si="41"/>
        <v>0</v>
      </c>
    </row>
    <row r="456" spans="1:26" ht="30" x14ac:dyDescent="0.25">
      <c r="A456" s="176" t="s">
        <v>4330</v>
      </c>
      <c r="B456" t="s">
        <v>90</v>
      </c>
      <c r="C456" t="s">
        <v>648</v>
      </c>
      <c r="D456" t="s">
        <v>2724</v>
      </c>
      <c r="E456" t="s">
        <v>41</v>
      </c>
      <c r="F456" t="s">
        <v>4373</v>
      </c>
      <c r="G456" t="s">
        <v>72</v>
      </c>
      <c r="H456" s="4" t="s">
        <v>4375</v>
      </c>
      <c r="I456" t="s">
        <v>1276</v>
      </c>
      <c r="J456" t="s">
        <v>871</v>
      </c>
      <c r="K456" s="6">
        <v>60750</v>
      </c>
      <c r="L456" s="6">
        <f t="shared" ref="L456:L470" si="46">N456*0.1</f>
        <v>6750</v>
      </c>
      <c r="M456" s="6">
        <f t="shared" si="45"/>
        <v>0</v>
      </c>
      <c r="N456" s="6">
        <v>67500</v>
      </c>
      <c r="O456" s="184" t="s">
        <v>4372</v>
      </c>
      <c r="P456" s="176" t="s">
        <v>4371</v>
      </c>
      <c r="Q456" t="s">
        <v>4374</v>
      </c>
      <c r="R456" t="s">
        <v>4369</v>
      </c>
      <c r="S456" s="178">
        <v>42391</v>
      </c>
      <c r="U456" t="s">
        <v>1775</v>
      </c>
      <c r="V456" s="178" t="s">
        <v>2571</v>
      </c>
      <c r="W456" s="178">
        <v>42391</v>
      </c>
      <c r="X456" s="6">
        <v>60750</v>
      </c>
      <c r="Y456" s="6">
        <f t="shared" si="41"/>
        <v>0</v>
      </c>
    </row>
    <row r="457" spans="1:26" x14ac:dyDescent="0.25">
      <c r="A457" s="176" t="s">
        <v>4330</v>
      </c>
      <c r="B457" t="s">
        <v>90</v>
      </c>
      <c r="C457" t="s">
        <v>648</v>
      </c>
      <c r="D457" t="s">
        <v>2724</v>
      </c>
      <c r="E457" t="s">
        <v>41</v>
      </c>
      <c r="F457" t="s">
        <v>4373</v>
      </c>
      <c r="G457" t="s">
        <v>177</v>
      </c>
      <c r="H457" s="4" t="s">
        <v>178</v>
      </c>
      <c r="I457" t="s">
        <v>1276</v>
      </c>
      <c r="J457" t="s">
        <v>871</v>
      </c>
      <c r="K457" s="6">
        <v>6750</v>
      </c>
      <c r="L457" s="6">
        <f t="shared" si="46"/>
        <v>750</v>
      </c>
      <c r="M457" s="6">
        <f t="shared" si="45"/>
        <v>0</v>
      </c>
      <c r="N457" s="6">
        <v>7500</v>
      </c>
      <c r="O457" s="184" t="s">
        <v>4372</v>
      </c>
      <c r="P457" s="176" t="s">
        <v>4371</v>
      </c>
      <c r="Q457" t="s">
        <v>4370</v>
      </c>
      <c r="R457" t="s">
        <v>4369</v>
      </c>
      <c r="S457" s="178">
        <v>42391</v>
      </c>
      <c r="U457" t="s">
        <v>1775</v>
      </c>
      <c r="V457" s="178" t="s">
        <v>2571</v>
      </c>
      <c r="W457" s="178">
        <v>42391</v>
      </c>
      <c r="X457" s="6">
        <v>6750</v>
      </c>
      <c r="Y457" s="6">
        <f t="shared" si="41"/>
        <v>0</v>
      </c>
    </row>
    <row r="458" spans="1:26" x14ac:dyDescent="0.25">
      <c r="A458" s="176" t="s">
        <v>4330</v>
      </c>
      <c r="B458" t="s">
        <v>90</v>
      </c>
      <c r="C458" t="s">
        <v>648</v>
      </c>
      <c r="D458" t="s">
        <v>239</v>
      </c>
      <c r="E458" t="s">
        <v>240</v>
      </c>
      <c r="F458" t="s">
        <v>4329</v>
      </c>
      <c r="G458" t="s">
        <v>177</v>
      </c>
      <c r="H458" s="4" t="s">
        <v>178</v>
      </c>
      <c r="I458" t="s">
        <v>1276</v>
      </c>
      <c r="J458" t="s">
        <v>871</v>
      </c>
      <c r="K458" s="6">
        <v>54450</v>
      </c>
      <c r="L458" s="6">
        <f t="shared" si="46"/>
        <v>6050</v>
      </c>
      <c r="M458" s="6">
        <f t="shared" si="45"/>
        <v>0</v>
      </c>
      <c r="N458" s="6">
        <v>60500</v>
      </c>
      <c r="O458" s="184" t="s">
        <v>4327</v>
      </c>
      <c r="P458" s="176" t="s">
        <v>4326</v>
      </c>
      <c r="Q458" t="s">
        <v>4325</v>
      </c>
      <c r="R458" t="s">
        <v>4324</v>
      </c>
      <c r="S458" s="178">
        <v>42395</v>
      </c>
      <c r="U458" t="s">
        <v>1775</v>
      </c>
      <c r="V458" s="178" t="s">
        <v>2571</v>
      </c>
      <c r="W458" s="178">
        <v>42395</v>
      </c>
      <c r="X458" s="6">
        <v>54450</v>
      </c>
      <c r="Y458" s="6">
        <f t="shared" si="41"/>
        <v>0</v>
      </c>
      <c r="Z458" s="15"/>
    </row>
    <row r="459" spans="1:26" x14ac:dyDescent="0.25">
      <c r="A459" s="176" t="s">
        <v>4330</v>
      </c>
      <c r="B459" t="s">
        <v>90</v>
      </c>
      <c r="C459" t="s">
        <v>648</v>
      </c>
      <c r="D459" t="s">
        <v>239</v>
      </c>
      <c r="E459" t="s">
        <v>240</v>
      </c>
      <c r="F459" t="s">
        <v>4329</v>
      </c>
      <c r="G459" t="s">
        <v>72</v>
      </c>
      <c r="H459" s="4" t="s">
        <v>4328</v>
      </c>
      <c r="I459" t="s">
        <v>1276</v>
      </c>
      <c r="J459" t="s">
        <v>871</v>
      </c>
      <c r="K459" s="6">
        <v>490050</v>
      </c>
      <c r="L459" s="6">
        <f t="shared" si="46"/>
        <v>54450</v>
      </c>
      <c r="M459" s="6">
        <f t="shared" si="45"/>
        <v>0</v>
      </c>
      <c r="N459" s="6">
        <v>544500</v>
      </c>
      <c r="O459" s="184" t="s">
        <v>4327</v>
      </c>
      <c r="P459" s="176" t="s">
        <v>4326</v>
      </c>
      <c r="Q459" t="s">
        <v>4325</v>
      </c>
      <c r="R459" t="s">
        <v>4324</v>
      </c>
      <c r="S459" s="178">
        <v>42395</v>
      </c>
      <c r="U459" t="s">
        <v>1775</v>
      </c>
      <c r="V459" s="178" t="s">
        <v>2571</v>
      </c>
      <c r="W459" s="178">
        <v>42395</v>
      </c>
      <c r="X459" s="6">
        <v>490050</v>
      </c>
      <c r="Y459" s="6">
        <f t="shared" si="41"/>
        <v>0</v>
      </c>
      <c r="Z459" s="15"/>
    </row>
    <row r="460" spans="1:26" x14ac:dyDescent="0.25">
      <c r="A460" s="176" t="s">
        <v>794</v>
      </c>
      <c r="B460" t="s">
        <v>90</v>
      </c>
      <c r="C460" t="s">
        <v>648</v>
      </c>
      <c r="D460" t="s">
        <v>2724</v>
      </c>
      <c r="E460" t="s">
        <v>41</v>
      </c>
      <c r="F460" s="4" t="s">
        <v>948</v>
      </c>
      <c r="G460" t="s">
        <v>177</v>
      </c>
      <c r="H460" s="4" t="s">
        <v>178</v>
      </c>
      <c r="I460" t="s">
        <v>1276</v>
      </c>
      <c r="J460" t="s">
        <v>871</v>
      </c>
      <c r="K460" s="6">
        <v>27000</v>
      </c>
      <c r="L460" s="6">
        <f t="shared" si="46"/>
        <v>3000</v>
      </c>
      <c r="M460" s="6">
        <f t="shared" si="45"/>
        <v>0</v>
      </c>
      <c r="N460" s="6">
        <v>30000</v>
      </c>
      <c r="O460" s="184" t="s">
        <v>1354</v>
      </c>
      <c r="P460" s="176" t="s">
        <v>1514</v>
      </c>
      <c r="Q460" t="s">
        <v>3996</v>
      </c>
      <c r="R460" t="s">
        <v>1672</v>
      </c>
      <c r="S460" s="178">
        <v>42488</v>
      </c>
      <c r="U460" t="s">
        <v>1775</v>
      </c>
      <c r="V460" s="178" t="s">
        <v>2571</v>
      </c>
      <c r="W460" s="178">
        <v>42488</v>
      </c>
      <c r="X460" s="6">
        <v>27000</v>
      </c>
      <c r="Y460" s="6">
        <f t="shared" si="41"/>
        <v>0</v>
      </c>
    </row>
    <row r="461" spans="1:26" x14ac:dyDescent="0.25">
      <c r="A461" s="176" t="s">
        <v>794</v>
      </c>
      <c r="B461" t="s">
        <v>90</v>
      </c>
      <c r="C461" t="s">
        <v>648</v>
      </c>
      <c r="D461" t="s">
        <v>2724</v>
      </c>
      <c r="E461" t="s">
        <v>41</v>
      </c>
      <c r="F461" s="4" t="s">
        <v>948</v>
      </c>
      <c r="G461" t="s">
        <v>72</v>
      </c>
      <c r="H461" s="4" t="s">
        <v>2865</v>
      </c>
      <c r="I461" t="s">
        <v>1276</v>
      </c>
      <c r="J461" t="s">
        <v>871</v>
      </c>
      <c r="K461" s="6">
        <v>243000</v>
      </c>
      <c r="L461" s="6">
        <f t="shared" si="46"/>
        <v>27000</v>
      </c>
      <c r="M461" s="6">
        <f t="shared" si="45"/>
        <v>0</v>
      </c>
      <c r="N461" s="6">
        <v>270000</v>
      </c>
      <c r="O461" s="184" t="s">
        <v>1354</v>
      </c>
      <c r="P461" s="176" t="s">
        <v>1514</v>
      </c>
      <c r="Q461" t="s">
        <v>3996</v>
      </c>
      <c r="R461" t="s">
        <v>1672</v>
      </c>
      <c r="S461" s="178">
        <v>42488</v>
      </c>
      <c r="T461" s="178">
        <v>42531</v>
      </c>
      <c r="U461" t="s">
        <v>1775</v>
      </c>
      <c r="V461" s="178" t="s">
        <v>2571</v>
      </c>
      <c r="W461" s="178">
        <v>42488</v>
      </c>
      <c r="X461" s="6">
        <v>243000</v>
      </c>
      <c r="Y461" s="6">
        <f t="shared" si="41"/>
        <v>0</v>
      </c>
    </row>
    <row r="462" spans="1:26" x14ac:dyDescent="0.25">
      <c r="A462" s="176" t="s">
        <v>794</v>
      </c>
      <c r="B462" t="s">
        <v>90</v>
      </c>
      <c r="C462" t="s">
        <v>648</v>
      </c>
      <c r="D462" t="s">
        <v>41</v>
      </c>
      <c r="E462" t="s">
        <v>41</v>
      </c>
      <c r="F462" s="4" t="s">
        <v>949</v>
      </c>
      <c r="G462" t="s">
        <v>177</v>
      </c>
      <c r="H462" s="4" t="s">
        <v>178</v>
      </c>
      <c r="I462" t="s">
        <v>1276</v>
      </c>
      <c r="J462" s="4" t="s">
        <v>871</v>
      </c>
      <c r="K462" s="6">
        <v>39004</v>
      </c>
      <c r="L462" s="6">
        <f t="shared" si="46"/>
        <v>4333.8</v>
      </c>
      <c r="M462" s="6">
        <f t="shared" si="45"/>
        <v>0.19999999999708962</v>
      </c>
      <c r="N462" s="6">
        <v>43338</v>
      </c>
      <c r="O462" s="184" t="s">
        <v>1355</v>
      </c>
      <c r="P462" s="176" t="s">
        <v>1515</v>
      </c>
      <c r="Q462" s="22" t="s">
        <v>2864</v>
      </c>
      <c r="R462" t="s">
        <v>1673</v>
      </c>
      <c r="S462" s="178">
        <v>42495</v>
      </c>
      <c r="T462" s="178"/>
      <c r="U462" t="s">
        <v>2570</v>
      </c>
      <c r="V462" s="178" t="s">
        <v>2604</v>
      </c>
      <c r="W462" s="178">
        <v>42621</v>
      </c>
      <c r="X462" s="6">
        <v>27000</v>
      </c>
      <c r="Y462" s="6">
        <f t="shared" ref="Y462:Y477" si="47">K462-X462</f>
        <v>12004</v>
      </c>
    </row>
    <row r="463" spans="1:26" x14ac:dyDescent="0.25">
      <c r="A463" s="176" t="s">
        <v>794</v>
      </c>
      <c r="B463" t="s">
        <v>90</v>
      </c>
      <c r="C463" t="s">
        <v>648</v>
      </c>
      <c r="D463" t="s">
        <v>41</v>
      </c>
      <c r="E463" t="s">
        <v>41</v>
      </c>
      <c r="F463" s="4" t="s">
        <v>949</v>
      </c>
      <c r="G463" t="s">
        <v>72</v>
      </c>
      <c r="H463" s="4" t="s">
        <v>2865</v>
      </c>
      <c r="I463" t="s">
        <v>1276</v>
      </c>
      <c r="J463" s="4" t="s">
        <v>871</v>
      </c>
      <c r="K463" s="6">
        <v>390043</v>
      </c>
      <c r="L463" s="6">
        <f t="shared" si="46"/>
        <v>43338.100000000006</v>
      </c>
      <c r="M463" s="6">
        <f t="shared" si="45"/>
        <v>-9.9999999976716936E-2</v>
      </c>
      <c r="N463" s="6">
        <v>433381</v>
      </c>
      <c r="O463" s="184" t="s">
        <v>1355</v>
      </c>
      <c r="P463" s="176" t="s">
        <v>1515</v>
      </c>
      <c r="Q463" s="22" t="s">
        <v>2864</v>
      </c>
      <c r="R463" t="s">
        <v>1673</v>
      </c>
      <c r="S463" s="178">
        <v>42495</v>
      </c>
      <c r="T463" s="178"/>
      <c r="U463" t="s">
        <v>2570</v>
      </c>
      <c r="V463" s="178" t="s">
        <v>2604</v>
      </c>
      <c r="W463" s="178">
        <v>42621</v>
      </c>
      <c r="X463" s="6">
        <v>243000</v>
      </c>
      <c r="Y463" s="6">
        <f t="shared" si="47"/>
        <v>147043</v>
      </c>
    </row>
    <row r="464" spans="1:26" x14ac:dyDescent="0.25">
      <c r="A464" s="171" t="s">
        <v>2998</v>
      </c>
      <c r="B464" t="s">
        <v>90</v>
      </c>
      <c r="C464" s="4" t="s">
        <v>648</v>
      </c>
      <c r="D464" s="4" t="s">
        <v>2724</v>
      </c>
      <c r="E464" s="4" t="s">
        <v>41</v>
      </c>
      <c r="F464" s="4" t="s">
        <v>2997</v>
      </c>
      <c r="G464" t="s">
        <v>177</v>
      </c>
      <c r="H464" s="4" t="s">
        <v>178</v>
      </c>
      <c r="I464" s="4" t="s">
        <v>1275</v>
      </c>
      <c r="J464" t="s">
        <v>873</v>
      </c>
      <c r="K464" s="6">
        <f>108000+108000</f>
        <v>216000</v>
      </c>
      <c r="L464" s="6">
        <f t="shared" si="46"/>
        <v>24000</v>
      </c>
      <c r="M464" s="6">
        <f t="shared" si="45"/>
        <v>0</v>
      </c>
      <c r="N464" s="6">
        <v>240000</v>
      </c>
      <c r="O464" s="184" t="s">
        <v>2995</v>
      </c>
      <c r="P464" s="176" t="s">
        <v>2994</v>
      </c>
      <c r="Q464" t="s">
        <v>2999</v>
      </c>
      <c r="R464" t="s">
        <v>2992</v>
      </c>
      <c r="S464" s="178">
        <v>42601</v>
      </c>
      <c r="U464" s="61" t="s">
        <v>1775</v>
      </c>
      <c r="V464" s="178" t="s">
        <v>2571</v>
      </c>
      <c r="W464" s="178">
        <v>42601</v>
      </c>
      <c r="X464" s="6">
        <v>216000</v>
      </c>
      <c r="Y464" s="6">
        <f t="shared" si="47"/>
        <v>0</v>
      </c>
    </row>
    <row r="465" spans="1:26" x14ac:dyDescent="0.25">
      <c r="A465" s="171" t="s">
        <v>2998</v>
      </c>
      <c r="B465" t="s">
        <v>90</v>
      </c>
      <c r="C465" s="4" t="s">
        <v>648</v>
      </c>
      <c r="D465" s="4" t="s">
        <v>2724</v>
      </c>
      <c r="E465" s="4" t="s">
        <v>41</v>
      </c>
      <c r="F465" s="4" t="s">
        <v>2997</v>
      </c>
      <c r="G465" t="s">
        <v>72</v>
      </c>
      <c r="H465" s="4" t="s">
        <v>2996</v>
      </c>
      <c r="I465" s="4" t="s">
        <v>1275</v>
      </c>
      <c r="J465" t="s">
        <v>873</v>
      </c>
      <c r="K465" s="6">
        <f>2160000-K464</f>
        <v>1944000</v>
      </c>
      <c r="L465" s="6">
        <f t="shared" si="46"/>
        <v>216000</v>
      </c>
      <c r="M465" s="6">
        <f t="shared" si="45"/>
        <v>0</v>
      </c>
      <c r="N465" s="6">
        <f>2400000-N464</f>
        <v>2160000</v>
      </c>
      <c r="O465" s="184" t="s">
        <v>2995</v>
      </c>
      <c r="P465" s="176" t="s">
        <v>2994</v>
      </c>
      <c r="Q465" t="s">
        <v>2993</v>
      </c>
      <c r="R465" t="s">
        <v>2992</v>
      </c>
      <c r="S465" s="178">
        <v>42601</v>
      </c>
      <c r="U465" s="61" t="s">
        <v>1775</v>
      </c>
      <c r="V465" s="178" t="s">
        <v>2571</v>
      </c>
      <c r="W465" s="178">
        <v>42601</v>
      </c>
      <c r="X465" s="6">
        <v>1944000</v>
      </c>
      <c r="Y465" s="6">
        <f t="shared" si="47"/>
        <v>0</v>
      </c>
    </row>
    <row r="466" spans="1:26" ht="30" x14ac:dyDescent="0.25">
      <c r="A466" s="176" t="s">
        <v>2622</v>
      </c>
      <c r="B466" t="s">
        <v>90</v>
      </c>
      <c r="C466" t="s">
        <v>648</v>
      </c>
      <c r="D466" t="s">
        <v>239</v>
      </c>
      <c r="E466" t="s">
        <v>4559</v>
      </c>
      <c r="F466" t="s">
        <v>4558</v>
      </c>
      <c r="G466" t="s">
        <v>72</v>
      </c>
      <c r="H466" s="4" t="s">
        <v>2620</v>
      </c>
      <c r="I466" t="s">
        <v>2619</v>
      </c>
      <c r="J466" t="s">
        <v>2618</v>
      </c>
      <c r="K466" s="6">
        <v>135000</v>
      </c>
      <c r="L466" s="6">
        <f t="shared" si="46"/>
        <v>15000</v>
      </c>
      <c r="M466" s="6">
        <f t="shared" si="45"/>
        <v>0</v>
      </c>
      <c r="N466" s="6">
        <v>150000</v>
      </c>
      <c r="O466" s="184" t="s">
        <v>4557</v>
      </c>
      <c r="P466" s="176" t="s">
        <v>4556</v>
      </c>
      <c r="Q466" t="s">
        <v>4555</v>
      </c>
      <c r="R466" t="s">
        <v>4554</v>
      </c>
      <c r="S466" s="178">
        <v>42318</v>
      </c>
      <c r="U466" s="186" t="s">
        <v>1775</v>
      </c>
      <c r="V466" s="178" t="s">
        <v>2571</v>
      </c>
      <c r="W466" s="178">
        <v>42318</v>
      </c>
      <c r="X466" s="6">
        <v>135000</v>
      </c>
      <c r="Y466" s="6">
        <f t="shared" si="47"/>
        <v>0</v>
      </c>
    </row>
    <row r="467" spans="1:26" ht="30" x14ac:dyDescent="0.25">
      <c r="A467" s="176" t="s">
        <v>2622</v>
      </c>
      <c r="B467" t="s">
        <v>90</v>
      </c>
      <c r="C467" t="s">
        <v>648</v>
      </c>
      <c r="D467" t="s">
        <v>239</v>
      </c>
      <c r="E467" t="s">
        <v>4553</v>
      </c>
      <c r="F467" t="s">
        <v>4552</v>
      </c>
      <c r="G467" t="s">
        <v>72</v>
      </c>
      <c r="H467" s="4" t="s">
        <v>2620</v>
      </c>
      <c r="I467" t="s">
        <v>2619</v>
      </c>
      <c r="J467" t="s">
        <v>2618</v>
      </c>
      <c r="K467" s="6">
        <v>405000</v>
      </c>
      <c r="L467" s="6">
        <f t="shared" si="46"/>
        <v>45000</v>
      </c>
      <c r="M467" s="6">
        <f t="shared" si="45"/>
        <v>0</v>
      </c>
      <c r="N467" s="6">
        <v>450000</v>
      </c>
      <c r="O467" s="184" t="s">
        <v>4551</v>
      </c>
      <c r="P467" s="176" t="s">
        <v>4550</v>
      </c>
      <c r="Q467" t="s">
        <v>4549</v>
      </c>
      <c r="R467" t="s">
        <v>4548</v>
      </c>
      <c r="S467" s="178">
        <v>42318</v>
      </c>
      <c r="U467" s="186" t="s">
        <v>1775</v>
      </c>
      <c r="V467" s="178" t="s">
        <v>2571</v>
      </c>
      <c r="W467" s="178">
        <v>42318</v>
      </c>
      <c r="X467" s="6">
        <v>405000</v>
      </c>
      <c r="Y467" s="6">
        <f t="shared" si="47"/>
        <v>0</v>
      </c>
    </row>
    <row r="468" spans="1:26" x14ac:dyDescent="0.25">
      <c r="A468" s="176" t="s">
        <v>2622</v>
      </c>
      <c r="B468" t="s">
        <v>90</v>
      </c>
      <c r="C468" t="s">
        <v>648</v>
      </c>
      <c r="D468" t="s">
        <v>920</v>
      </c>
      <c r="E468" t="s">
        <v>394</v>
      </c>
      <c r="F468" t="s">
        <v>4452</v>
      </c>
      <c r="G468" t="s">
        <v>72</v>
      </c>
      <c r="H468" s="4" t="s">
        <v>2627</v>
      </c>
      <c r="I468" t="s">
        <v>2619</v>
      </c>
      <c r="J468" t="s">
        <v>2618</v>
      </c>
      <c r="K468" s="6">
        <v>360000</v>
      </c>
      <c r="L468" s="6">
        <f t="shared" si="46"/>
        <v>40000</v>
      </c>
      <c r="M468" s="6">
        <f t="shared" si="45"/>
        <v>0</v>
      </c>
      <c r="N468" s="6">
        <v>400000</v>
      </c>
      <c r="O468" s="184" t="s">
        <v>2617</v>
      </c>
      <c r="P468" s="176" t="s">
        <v>2616</v>
      </c>
      <c r="Q468" t="s">
        <v>4451</v>
      </c>
      <c r="R468" t="s">
        <v>2615</v>
      </c>
      <c r="S468" s="178">
        <v>42348</v>
      </c>
      <c r="U468" t="s">
        <v>1775</v>
      </c>
      <c r="V468" s="178" t="s">
        <v>2571</v>
      </c>
      <c r="W468" s="178">
        <v>42348</v>
      </c>
      <c r="X468" s="6">
        <v>360000</v>
      </c>
      <c r="Y468" s="6">
        <f t="shared" si="47"/>
        <v>0</v>
      </c>
    </row>
    <row r="469" spans="1:26" x14ac:dyDescent="0.25">
      <c r="A469" s="176" t="s">
        <v>2622</v>
      </c>
      <c r="B469" t="s">
        <v>90</v>
      </c>
      <c r="C469" t="s">
        <v>648</v>
      </c>
      <c r="D469" t="s">
        <v>91</v>
      </c>
      <c r="E469" t="s">
        <v>2629</v>
      </c>
      <c r="F469" t="s">
        <v>2628</v>
      </c>
      <c r="G469" t="s">
        <v>72</v>
      </c>
      <c r="H469" s="4" t="s">
        <v>2627</v>
      </c>
      <c r="I469" t="s">
        <v>2619</v>
      </c>
      <c r="J469" t="s">
        <v>2618</v>
      </c>
      <c r="K469" s="6">
        <v>432000</v>
      </c>
      <c r="L469" s="6">
        <f t="shared" si="46"/>
        <v>48000</v>
      </c>
      <c r="M469" s="6">
        <f t="shared" si="45"/>
        <v>0</v>
      </c>
      <c r="N469" s="6">
        <v>480000</v>
      </c>
      <c r="O469" s="184" t="s">
        <v>2626</v>
      </c>
      <c r="P469" s="176" t="s">
        <v>2625</v>
      </c>
      <c r="Q469" t="s">
        <v>2624</v>
      </c>
      <c r="R469" t="s">
        <v>2623</v>
      </c>
      <c r="S469" s="178">
        <v>42331</v>
      </c>
      <c r="U469" t="s">
        <v>1775</v>
      </c>
      <c r="V469" s="178" t="s">
        <v>2571</v>
      </c>
      <c r="W469" s="178">
        <v>42697</v>
      </c>
      <c r="X469" s="6">
        <v>432000</v>
      </c>
      <c r="Y469" s="6">
        <f t="shared" si="47"/>
        <v>0</v>
      </c>
    </row>
    <row r="470" spans="1:26" ht="30" x14ac:dyDescent="0.25">
      <c r="A470" s="176" t="s">
        <v>2622</v>
      </c>
      <c r="B470" t="s">
        <v>90</v>
      </c>
      <c r="C470" t="s">
        <v>648</v>
      </c>
      <c r="D470" t="s">
        <v>920</v>
      </c>
      <c r="E470" t="s">
        <v>2621</v>
      </c>
      <c r="F470" t="s">
        <v>394</v>
      </c>
      <c r="G470" t="s">
        <v>72</v>
      </c>
      <c r="H470" s="4" t="s">
        <v>2620</v>
      </c>
      <c r="I470" t="s">
        <v>2619</v>
      </c>
      <c r="J470" t="s">
        <v>2618</v>
      </c>
      <c r="L470" s="6">
        <f t="shared" si="46"/>
        <v>0</v>
      </c>
      <c r="M470" s="6">
        <f t="shared" si="45"/>
        <v>0</v>
      </c>
      <c r="O470" s="184" t="s">
        <v>2617</v>
      </c>
      <c r="P470" s="176" t="s">
        <v>2616</v>
      </c>
      <c r="R470" t="s">
        <v>2615</v>
      </c>
      <c r="S470" s="178">
        <v>42318</v>
      </c>
      <c r="Y470" s="6">
        <f t="shared" si="47"/>
        <v>0</v>
      </c>
    </row>
    <row r="471" spans="1:26" x14ac:dyDescent="0.25">
      <c r="A471" s="176" t="s">
        <v>2741</v>
      </c>
      <c r="B471" t="s">
        <v>18</v>
      </c>
      <c r="C471" t="s">
        <v>648</v>
      </c>
      <c r="D471" t="s">
        <v>2724</v>
      </c>
      <c r="E471" t="s">
        <v>648</v>
      </c>
      <c r="F471" t="s">
        <v>648</v>
      </c>
      <c r="G471" s="186" t="s">
        <v>1849</v>
      </c>
      <c r="H471" s="4" t="s">
        <v>2740</v>
      </c>
      <c r="J471" t="s">
        <v>2739</v>
      </c>
      <c r="K471" s="6">
        <v>4065553</v>
      </c>
      <c r="L471" s="6">
        <f>N471*0.2</f>
        <v>1016388.25</v>
      </c>
      <c r="M471" s="6">
        <f t="shared" si="45"/>
        <v>0</v>
      </c>
      <c r="N471" s="6">
        <v>5081941.25</v>
      </c>
      <c r="O471" s="184" t="s">
        <v>2738</v>
      </c>
      <c r="P471" s="176" t="s">
        <v>3798</v>
      </c>
      <c r="S471" s="178">
        <v>42355</v>
      </c>
      <c r="U471" s="186" t="s">
        <v>2301</v>
      </c>
      <c r="V471" s="178" t="s">
        <v>2604</v>
      </c>
      <c r="W471" s="178">
        <v>42355</v>
      </c>
      <c r="X471" s="6">
        <v>4065553</v>
      </c>
      <c r="Y471" s="6">
        <f t="shared" si="47"/>
        <v>0</v>
      </c>
      <c r="Z471" t="s">
        <v>3797</v>
      </c>
    </row>
    <row r="472" spans="1:26" x14ac:dyDescent="0.25">
      <c r="A472" s="176" t="s">
        <v>2741</v>
      </c>
      <c r="B472" t="s">
        <v>18</v>
      </c>
      <c r="C472" t="s">
        <v>648</v>
      </c>
      <c r="D472" t="s">
        <v>2724</v>
      </c>
      <c r="E472" t="s">
        <v>648</v>
      </c>
      <c r="F472" t="s">
        <v>648</v>
      </c>
      <c r="G472" s="186" t="s">
        <v>1849</v>
      </c>
      <c r="H472" s="4" t="s">
        <v>2740</v>
      </c>
      <c r="J472" t="s">
        <v>2743</v>
      </c>
      <c r="K472" s="6">
        <v>4962980</v>
      </c>
      <c r="L472" s="6" t="s">
        <v>3799</v>
      </c>
      <c r="M472" s="6">
        <v>0</v>
      </c>
      <c r="N472" s="6">
        <v>4962980</v>
      </c>
      <c r="O472" s="184" t="s">
        <v>2738</v>
      </c>
      <c r="P472" s="176" t="s">
        <v>3798</v>
      </c>
      <c r="S472" s="178">
        <v>42312</v>
      </c>
      <c r="U472" s="186" t="s">
        <v>2301</v>
      </c>
      <c r="V472" s="178" t="s">
        <v>2604</v>
      </c>
      <c r="W472" s="178">
        <v>42517</v>
      </c>
      <c r="X472" s="6">
        <v>4962980</v>
      </c>
      <c r="Y472" s="6">
        <f t="shared" si="47"/>
        <v>0</v>
      </c>
      <c r="Z472" t="s">
        <v>3797</v>
      </c>
    </row>
    <row r="473" spans="1:26" x14ac:dyDescent="0.25">
      <c r="A473" s="176" t="s">
        <v>2741</v>
      </c>
      <c r="B473" t="s">
        <v>18</v>
      </c>
      <c r="C473" t="s">
        <v>648</v>
      </c>
      <c r="D473" t="s">
        <v>2724</v>
      </c>
      <c r="E473" t="s">
        <v>648</v>
      </c>
      <c r="F473" t="s">
        <v>648</v>
      </c>
      <c r="G473" s="186" t="s">
        <v>1849</v>
      </c>
      <c r="H473" s="4" t="s">
        <v>2740</v>
      </c>
      <c r="J473" t="s">
        <v>2742</v>
      </c>
      <c r="K473" s="6">
        <v>10109905</v>
      </c>
      <c r="L473" s="6" t="s">
        <v>3799</v>
      </c>
      <c r="M473" s="6">
        <v>0</v>
      </c>
      <c r="N473" s="6">
        <v>10455972.5</v>
      </c>
      <c r="O473" s="184" t="s">
        <v>2738</v>
      </c>
      <c r="P473" s="176" t="s">
        <v>3798</v>
      </c>
      <c r="S473" s="178">
        <v>42312</v>
      </c>
      <c r="U473" s="186" t="s">
        <v>2301</v>
      </c>
      <c r="V473" s="178" t="s">
        <v>2604</v>
      </c>
      <c r="W473" s="178">
        <v>42517</v>
      </c>
      <c r="X473" s="6">
        <v>7372182</v>
      </c>
      <c r="Y473" s="6">
        <f t="shared" si="47"/>
        <v>2737723</v>
      </c>
      <c r="Z473" t="s">
        <v>3797</v>
      </c>
    </row>
    <row r="474" spans="1:26" x14ac:dyDescent="0.25">
      <c r="A474" s="176" t="s">
        <v>2741</v>
      </c>
      <c r="B474" t="s">
        <v>18</v>
      </c>
      <c r="C474" t="s">
        <v>648</v>
      </c>
      <c r="D474" t="s">
        <v>2724</v>
      </c>
      <c r="E474" t="s">
        <v>648</v>
      </c>
      <c r="F474" t="s">
        <v>648</v>
      </c>
      <c r="G474" s="186" t="s">
        <v>1849</v>
      </c>
      <c r="H474" s="4" t="s">
        <v>2740</v>
      </c>
      <c r="J474" t="s">
        <v>2739</v>
      </c>
      <c r="K474" s="6">
        <v>4065553</v>
      </c>
      <c r="L474" s="6" t="s">
        <v>3799</v>
      </c>
      <c r="M474" s="6">
        <v>0</v>
      </c>
      <c r="N474" s="6">
        <v>4065553</v>
      </c>
      <c r="O474" s="184" t="s">
        <v>2738</v>
      </c>
      <c r="P474" s="176" t="s">
        <v>3798</v>
      </c>
      <c r="S474" s="178"/>
      <c r="U474" s="186" t="s">
        <v>2301</v>
      </c>
      <c r="V474" s="178" t="s">
        <v>2604</v>
      </c>
      <c r="W474" s="178">
        <v>42517</v>
      </c>
      <c r="X474" s="6">
        <v>4065553</v>
      </c>
      <c r="Y474" s="6">
        <f t="shared" si="47"/>
        <v>0</v>
      </c>
      <c r="Z474" t="s">
        <v>3797</v>
      </c>
    </row>
    <row r="475" spans="1:26" x14ac:dyDescent="0.25">
      <c r="A475" s="176" t="s">
        <v>2741</v>
      </c>
      <c r="B475" t="s">
        <v>18</v>
      </c>
      <c r="C475" t="s">
        <v>648</v>
      </c>
      <c r="D475" t="s">
        <v>2724</v>
      </c>
      <c r="E475" t="s">
        <v>648</v>
      </c>
      <c r="F475" t="s">
        <v>648</v>
      </c>
      <c r="G475" s="186" t="s">
        <v>1849</v>
      </c>
      <c r="H475" s="4" t="s">
        <v>2740</v>
      </c>
      <c r="J475" t="s">
        <v>2743</v>
      </c>
      <c r="K475" s="6">
        <v>5000000</v>
      </c>
      <c r="L475" s="6">
        <f>N475*0.2</f>
        <v>1250000</v>
      </c>
      <c r="M475" s="6">
        <f>N475-(K475+L475)</f>
        <v>0</v>
      </c>
      <c r="N475" s="6">
        <v>6250000</v>
      </c>
      <c r="O475" s="184" t="s">
        <v>2738</v>
      </c>
      <c r="P475" s="176" t="s">
        <v>2737</v>
      </c>
      <c r="S475" s="178">
        <v>42551</v>
      </c>
      <c r="U475" s="186" t="s">
        <v>2301</v>
      </c>
      <c r="V475" s="178" t="s">
        <v>2604</v>
      </c>
      <c r="W475" s="178">
        <v>42633</v>
      </c>
      <c r="X475" s="6">
        <v>5000000</v>
      </c>
      <c r="Y475" s="6">
        <f t="shared" si="47"/>
        <v>0</v>
      </c>
    </row>
    <row r="476" spans="1:26" x14ac:dyDescent="0.25">
      <c r="A476" s="176" t="s">
        <v>2741</v>
      </c>
      <c r="B476" t="s">
        <v>18</v>
      </c>
      <c r="C476" t="s">
        <v>648</v>
      </c>
      <c r="D476" t="s">
        <v>2724</v>
      </c>
      <c r="E476" t="s">
        <v>648</v>
      </c>
      <c r="F476" t="s">
        <v>648</v>
      </c>
      <c r="G476" s="186" t="s">
        <v>1849</v>
      </c>
      <c r="H476" s="4" t="s">
        <v>2740</v>
      </c>
      <c r="J476" t="s">
        <v>2742</v>
      </c>
      <c r="K476" s="6">
        <v>7981118</v>
      </c>
      <c r="L476" s="6">
        <f>N476*0.2</f>
        <v>1995279.6</v>
      </c>
      <c r="M476" s="6">
        <f>N476-(K476+L476)</f>
        <v>0.40000000037252903</v>
      </c>
      <c r="N476" s="6">
        <v>9976398</v>
      </c>
      <c r="O476" s="184" t="s">
        <v>2738</v>
      </c>
      <c r="P476" s="176" t="s">
        <v>2737</v>
      </c>
      <c r="S476" s="178">
        <v>42551</v>
      </c>
      <c r="U476" s="186" t="s">
        <v>2301</v>
      </c>
      <c r="V476" s="178" t="s">
        <v>2604</v>
      </c>
      <c r="W476" s="178">
        <v>42633</v>
      </c>
      <c r="X476" s="6">
        <v>7981118</v>
      </c>
      <c r="Y476" s="6">
        <f t="shared" si="47"/>
        <v>0</v>
      </c>
    </row>
    <row r="477" spans="1:26" x14ac:dyDescent="0.25">
      <c r="A477" s="176" t="s">
        <v>2741</v>
      </c>
      <c r="B477" t="s">
        <v>18</v>
      </c>
      <c r="C477" t="s">
        <v>648</v>
      </c>
      <c r="D477" t="s">
        <v>2724</v>
      </c>
      <c r="E477" t="s">
        <v>648</v>
      </c>
      <c r="F477" t="s">
        <v>648</v>
      </c>
      <c r="G477" s="186" t="s">
        <v>1849</v>
      </c>
      <c r="H477" s="4" t="s">
        <v>2740</v>
      </c>
      <c r="J477" t="s">
        <v>2739</v>
      </c>
      <c r="K477" s="6">
        <v>4123546</v>
      </c>
      <c r="L477" s="6">
        <f>N477*0.2</f>
        <v>1030886.5</v>
      </c>
      <c r="M477" s="6">
        <f>N477-(K477+L477)</f>
        <v>0</v>
      </c>
      <c r="N477" s="6">
        <v>5154432.5</v>
      </c>
      <c r="O477" s="184" t="s">
        <v>2738</v>
      </c>
      <c r="P477" s="176" t="s">
        <v>2737</v>
      </c>
      <c r="S477" s="178">
        <v>42633</v>
      </c>
      <c r="U477" s="186" t="s">
        <v>2301</v>
      </c>
      <c r="V477" s="178" t="s">
        <v>2604</v>
      </c>
      <c r="W477" s="178">
        <v>42633</v>
      </c>
      <c r="X477" s="6">
        <v>4123546</v>
      </c>
      <c r="Y477" s="6">
        <f t="shared" si="47"/>
        <v>0</v>
      </c>
    </row>
  </sheetData>
  <autoFilter ref="A1:Z477">
    <sortState ref="A2:Z477">
      <sortCondition ref="A1:A477"/>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9"/>
  <sheetViews>
    <sheetView topLeftCell="G1" zoomScale="85" zoomScaleNormal="85" workbookViewId="0">
      <pane ySplit="1" topLeftCell="A157" activePane="bottomLeft" state="frozen"/>
      <selection activeCell="I1" sqref="I1"/>
      <selection pane="bottomLeft" activeCell="W2" sqref="W2:Y189"/>
    </sheetView>
  </sheetViews>
  <sheetFormatPr defaultRowHeight="15" x14ac:dyDescent="0.25"/>
  <cols>
    <col min="1" max="1" width="12.140625" style="61" bestFit="1" customWidth="1"/>
    <col min="2" max="2" width="12.140625" style="61" customWidth="1"/>
    <col min="3" max="3" width="14.5703125" style="61" bestFit="1" customWidth="1"/>
    <col min="4" max="4" width="16.28515625" style="61" customWidth="1"/>
    <col min="5" max="5" width="16" style="61" customWidth="1"/>
    <col min="6" max="6" width="40.28515625" style="61" customWidth="1"/>
    <col min="7" max="7" width="7.140625" style="61" customWidth="1"/>
    <col min="8" max="8" width="26.5703125" style="61" customWidth="1"/>
    <col min="9" max="9" width="15.5703125" style="61" customWidth="1"/>
    <col min="10" max="10" width="7.7109375" style="61" customWidth="1"/>
    <col min="11" max="11" width="12.5703125" style="61" customWidth="1"/>
    <col min="12" max="12" width="11.85546875" style="61" customWidth="1"/>
    <col min="13" max="13" width="13.140625" style="61" customWidth="1"/>
    <col min="14" max="14" width="14.85546875" style="61" bestFit="1" customWidth="1"/>
    <col min="15" max="15" width="11.85546875" style="61" customWidth="1"/>
    <col min="16" max="16" width="13.85546875" style="61" customWidth="1"/>
    <col min="17" max="17" width="15.140625" style="61" customWidth="1"/>
    <col min="18" max="18" width="13.140625" style="61" customWidth="1"/>
    <col min="19" max="19" width="12.140625" style="61" customWidth="1"/>
    <col min="20" max="20" width="13.5703125" style="61" customWidth="1"/>
    <col min="21" max="22" width="9.140625" style="61"/>
    <col min="23" max="23" width="19.28515625" style="61" customWidth="1"/>
    <col min="24" max="24" width="25.7109375" style="61" bestFit="1" customWidth="1"/>
    <col min="25" max="25" width="15.7109375" style="61" bestFit="1" customWidth="1"/>
    <col min="26" max="16384" width="9.140625" style="61"/>
  </cols>
  <sheetData>
    <row r="1" spans="1:25" ht="60" x14ac:dyDescent="0.25">
      <c r="A1" s="216" t="s">
        <v>0</v>
      </c>
      <c r="B1" s="216" t="s">
        <v>1</v>
      </c>
      <c r="C1" s="26" t="s">
        <v>2</v>
      </c>
      <c r="D1" s="26" t="s">
        <v>3</v>
      </c>
      <c r="E1" s="26" t="s">
        <v>4</v>
      </c>
      <c r="F1" s="26" t="s">
        <v>5</v>
      </c>
      <c r="G1" s="26" t="s">
        <v>6</v>
      </c>
      <c r="H1" s="26" t="s">
        <v>7</v>
      </c>
      <c r="I1" s="26" t="s">
        <v>8</v>
      </c>
      <c r="J1" s="217" t="s">
        <v>9</v>
      </c>
      <c r="K1" s="218" t="s">
        <v>10</v>
      </c>
      <c r="L1" s="218" t="s">
        <v>11</v>
      </c>
      <c r="M1" s="218" t="s">
        <v>12</v>
      </c>
      <c r="N1" s="218" t="s">
        <v>13</v>
      </c>
      <c r="O1" s="219" t="s">
        <v>719</v>
      </c>
      <c r="P1" s="216" t="s">
        <v>15</v>
      </c>
      <c r="Q1" s="217" t="s">
        <v>720</v>
      </c>
      <c r="R1" s="216" t="s">
        <v>721</v>
      </c>
      <c r="S1" s="26" t="s">
        <v>722</v>
      </c>
      <c r="T1" s="26" t="s">
        <v>16</v>
      </c>
      <c r="U1" s="20" t="s">
        <v>723</v>
      </c>
      <c r="V1" s="220" t="s">
        <v>17</v>
      </c>
      <c r="W1" s="210" t="s">
        <v>204</v>
      </c>
      <c r="X1" s="3" t="s">
        <v>2280</v>
      </c>
      <c r="Y1" s="3" t="s">
        <v>4612</v>
      </c>
    </row>
    <row r="2" spans="1:25" x14ac:dyDescent="0.25">
      <c r="A2" s="187" t="s">
        <v>725</v>
      </c>
      <c r="B2" s="61" t="s">
        <v>90</v>
      </c>
      <c r="C2" s="61" t="s">
        <v>239</v>
      </c>
      <c r="D2" s="199" t="s">
        <v>239</v>
      </c>
      <c r="E2" s="199" t="s">
        <v>974</v>
      </c>
      <c r="F2" s="199" t="s">
        <v>1190</v>
      </c>
      <c r="G2" s="199" t="s">
        <v>1191</v>
      </c>
      <c r="H2" s="199" t="s">
        <v>1194</v>
      </c>
      <c r="I2" s="199" t="s">
        <v>867</v>
      </c>
      <c r="J2" s="199" t="s">
        <v>867</v>
      </c>
      <c r="K2" s="212">
        <v>3878400</v>
      </c>
      <c r="L2" s="183">
        <f t="shared" ref="L2:L33" si="0">N2-K2</f>
        <v>161600</v>
      </c>
      <c r="M2" s="213">
        <v>0</v>
      </c>
      <c r="N2" s="212">
        <v>4040000</v>
      </c>
      <c r="O2" s="187" t="s">
        <v>1280</v>
      </c>
      <c r="P2" s="199" t="s">
        <v>1440</v>
      </c>
      <c r="Q2" s="15" t="s">
        <v>1600</v>
      </c>
      <c r="S2" s="214">
        <v>42439.7399437153</v>
      </c>
      <c r="T2" s="187" t="s">
        <v>1755</v>
      </c>
      <c r="U2" s="61" t="s">
        <v>723</v>
      </c>
      <c r="W2" s="61" t="s">
        <v>82</v>
      </c>
      <c r="X2" s="61" t="s">
        <v>4615</v>
      </c>
      <c r="Y2" s="61" t="s">
        <v>124</v>
      </c>
    </row>
    <row r="3" spans="1:25" x14ac:dyDescent="0.25">
      <c r="A3" s="187" t="s">
        <v>742</v>
      </c>
      <c r="B3" s="61" t="s">
        <v>90</v>
      </c>
      <c r="C3" s="61" t="s">
        <v>239</v>
      </c>
      <c r="D3" s="199" t="s">
        <v>239</v>
      </c>
      <c r="E3" s="199" t="s">
        <v>987</v>
      </c>
      <c r="F3" s="199" t="s">
        <v>1094</v>
      </c>
      <c r="G3" s="199" t="s">
        <v>72</v>
      </c>
      <c r="H3" s="199" t="s">
        <v>1207</v>
      </c>
      <c r="I3" s="199" t="s">
        <v>1277</v>
      </c>
      <c r="J3" s="199" t="s">
        <v>872</v>
      </c>
      <c r="K3" s="212">
        <v>19496.48</v>
      </c>
      <c r="L3" s="183">
        <f t="shared" si="0"/>
        <v>4874.5200000000004</v>
      </c>
      <c r="M3" s="213">
        <v>0</v>
      </c>
      <c r="N3" s="212">
        <v>24371</v>
      </c>
      <c r="O3" s="187" t="s">
        <v>1299</v>
      </c>
      <c r="P3" s="199" t="s">
        <v>1459</v>
      </c>
      <c r="Q3" s="15" t="s">
        <v>1619</v>
      </c>
      <c r="S3" s="214">
        <v>42416.665364432898</v>
      </c>
      <c r="T3" s="187" t="s">
        <v>1755</v>
      </c>
      <c r="U3" s="61" t="s">
        <v>723</v>
      </c>
      <c r="W3" s="61" t="s">
        <v>4625</v>
      </c>
      <c r="X3" s="61" t="s">
        <v>4615</v>
      </c>
      <c r="Y3" s="61" t="s">
        <v>125</v>
      </c>
    </row>
    <row r="4" spans="1:25" x14ac:dyDescent="0.25">
      <c r="A4" s="187" t="s">
        <v>742</v>
      </c>
      <c r="B4" s="61" t="s">
        <v>90</v>
      </c>
      <c r="C4" s="61" t="s">
        <v>239</v>
      </c>
      <c r="D4" s="199" t="s">
        <v>239</v>
      </c>
      <c r="E4" s="199" t="s">
        <v>987</v>
      </c>
      <c r="F4" s="199" t="s">
        <v>1094</v>
      </c>
      <c r="G4" s="199" t="s">
        <v>72</v>
      </c>
      <c r="H4" s="199" t="s">
        <v>1207</v>
      </c>
      <c r="I4" s="199" t="s">
        <v>1277</v>
      </c>
      <c r="J4" s="199" t="s">
        <v>880</v>
      </c>
      <c r="K4" s="212">
        <v>3571.75</v>
      </c>
      <c r="L4" s="183">
        <f t="shared" si="0"/>
        <v>1783.25</v>
      </c>
      <c r="M4" s="213">
        <v>0</v>
      </c>
      <c r="N4" s="212">
        <v>5355</v>
      </c>
      <c r="O4" s="187" t="s">
        <v>1299</v>
      </c>
      <c r="P4" s="199" t="s">
        <v>1459</v>
      </c>
      <c r="Q4" s="15" t="s">
        <v>1619</v>
      </c>
      <c r="S4" s="214">
        <v>42416.665364432898</v>
      </c>
      <c r="T4" s="187" t="s">
        <v>1755</v>
      </c>
      <c r="U4" s="61" t="s">
        <v>723</v>
      </c>
      <c r="W4" s="61" t="s">
        <v>4625</v>
      </c>
      <c r="X4" s="61" t="s">
        <v>4615</v>
      </c>
      <c r="Y4" s="61" t="s">
        <v>125</v>
      </c>
    </row>
    <row r="5" spans="1:25" x14ac:dyDescent="0.25">
      <c r="A5" s="187" t="s">
        <v>766</v>
      </c>
      <c r="B5" s="61" t="s">
        <v>90</v>
      </c>
      <c r="C5" s="61" t="s">
        <v>239</v>
      </c>
      <c r="D5" s="199" t="s">
        <v>239</v>
      </c>
      <c r="E5" s="199" t="s">
        <v>4645</v>
      </c>
      <c r="F5" s="199" t="s">
        <v>4646</v>
      </c>
      <c r="G5" s="199" t="s">
        <v>72</v>
      </c>
      <c r="H5" s="199" t="s">
        <v>1195</v>
      </c>
      <c r="I5" s="199" t="s">
        <v>1275</v>
      </c>
      <c r="J5" s="199" t="s">
        <v>870</v>
      </c>
      <c r="K5" s="212">
        <v>374766.24</v>
      </c>
      <c r="L5" s="183">
        <f t="shared" si="0"/>
        <v>41640.760000000009</v>
      </c>
      <c r="M5" s="213">
        <v>0</v>
      </c>
      <c r="N5" s="212">
        <v>416407</v>
      </c>
      <c r="O5" s="187" t="s">
        <v>1325</v>
      </c>
      <c r="P5" s="199" t="s">
        <v>1485</v>
      </c>
      <c r="Q5" s="15" t="s">
        <v>1645</v>
      </c>
      <c r="S5" s="214">
        <v>42586.467052233798</v>
      </c>
      <c r="T5" s="187" t="s">
        <v>1755</v>
      </c>
      <c r="U5" s="61" t="s">
        <v>723</v>
      </c>
      <c r="W5" s="61" t="s">
        <v>4625</v>
      </c>
      <c r="X5" s="61" t="s">
        <v>4615</v>
      </c>
      <c r="Y5" s="61" t="s">
        <v>125</v>
      </c>
    </row>
    <row r="6" spans="1:25" x14ac:dyDescent="0.25">
      <c r="A6" s="187" t="s">
        <v>766</v>
      </c>
      <c r="B6" s="186" t="s">
        <v>90</v>
      </c>
      <c r="C6" s="61" t="s">
        <v>239</v>
      </c>
      <c r="D6" s="199" t="s">
        <v>239</v>
      </c>
      <c r="E6" s="199" t="s">
        <v>4645</v>
      </c>
      <c r="F6" s="199" t="s">
        <v>4646</v>
      </c>
      <c r="G6" s="199" t="s">
        <v>72</v>
      </c>
      <c r="H6" s="199" t="s">
        <v>1195</v>
      </c>
      <c r="I6" s="199" t="s">
        <v>4629</v>
      </c>
      <c r="J6" s="199" t="s">
        <v>891</v>
      </c>
      <c r="K6" s="212">
        <v>15773.16</v>
      </c>
      <c r="L6" s="183">
        <f t="shared" si="0"/>
        <v>1751.8400000000001</v>
      </c>
      <c r="M6" s="213">
        <v>0</v>
      </c>
      <c r="N6" s="212">
        <v>17525</v>
      </c>
      <c r="O6" s="187" t="s">
        <v>1325</v>
      </c>
      <c r="P6" s="199" t="s">
        <v>1485</v>
      </c>
      <c r="Q6" s="15" t="s">
        <v>1645</v>
      </c>
      <c r="S6" s="214">
        <v>42586.467052233798</v>
      </c>
      <c r="T6" s="187" t="s">
        <v>1755</v>
      </c>
      <c r="U6" s="61" t="s">
        <v>723</v>
      </c>
      <c r="W6" s="61" t="s">
        <v>4625</v>
      </c>
      <c r="X6" s="61" t="s">
        <v>4615</v>
      </c>
      <c r="Y6" s="61" t="s">
        <v>125</v>
      </c>
    </row>
    <row r="7" spans="1:25" x14ac:dyDescent="0.25">
      <c r="A7" s="215" t="s">
        <v>273</v>
      </c>
      <c r="B7" s="61" t="s">
        <v>90</v>
      </c>
      <c r="C7" s="61" t="s">
        <v>239</v>
      </c>
      <c r="D7" s="199" t="s">
        <v>239</v>
      </c>
      <c r="E7" s="199" t="s">
        <v>233</v>
      </c>
      <c r="F7" s="199" t="s">
        <v>4675</v>
      </c>
      <c r="G7" s="199" t="s">
        <v>72</v>
      </c>
      <c r="H7" s="199" t="s">
        <v>1252</v>
      </c>
      <c r="I7" s="199" t="s">
        <v>1275</v>
      </c>
      <c r="J7" s="199" t="s">
        <v>873</v>
      </c>
      <c r="K7" s="212">
        <v>6270830</v>
      </c>
      <c r="L7" s="183">
        <f t="shared" si="0"/>
        <v>2687499</v>
      </c>
      <c r="M7" s="213">
        <v>0</v>
      </c>
      <c r="N7" s="212">
        <v>8958329</v>
      </c>
      <c r="O7" s="187" t="s">
        <v>1385</v>
      </c>
      <c r="P7" s="199" t="s">
        <v>1545</v>
      </c>
      <c r="Q7" s="15" t="s">
        <v>1702</v>
      </c>
      <c r="S7" s="214">
        <v>42381.5176687153</v>
      </c>
      <c r="T7" s="187" t="s">
        <v>1755</v>
      </c>
      <c r="U7" s="61" t="s">
        <v>723</v>
      </c>
      <c r="W7" s="61" t="s">
        <v>4625</v>
      </c>
      <c r="X7" s="61" t="s">
        <v>4615</v>
      </c>
      <c r="Y7" s="61" t="s">
        <v>124</v>
      </c>
    </row>
    <row r="8" spans="1:25" x14ac:dyDescent="0.25">
      <c r="A8" s="187" t="s">
        <v>764</v>
      </c>
      <c r="B8" s="61" t="s">
        <v>90</v>
      </c>
      <c r="C8" s="61" t="s">
        <v>239</v>
      </c>
      <c r="D8" s="199" t="s">
        <v>239</v>
      </c>
      <c r="E8" s="199" t="s">
        <v>233</v>
      </c>
      <c r="F8" s="199" t="s">
        <v>4674</v>
      </c>
      <c r="G8" s="199" t="s">
        <v>72</v>
      </c>
      <c r="H8" s="199" t="s">
        <v>74</v>
      </c>
      <c r="I8" s="199" t="s">
        <v>2284</v>
      </c>
      <c r="J8" s="199" t="s">
        <v>884</v>
      </c>
      <c r="K8" s="212">
        <v>9888.33</v>
      </c>
      <c r="L8" s="183">
        <f t="shared" si="0"/>
        <v>1098.67</v>
      </c>
      <c r="M8" s="213">
        <v>0</v>
      </c>
      <c r="N8" s="212">
        <v>10987</v>
      </c>
      <c r="O8" s="187" t="s">
        <v>1323</v>
      </c>
      <c r="P8" s="199" t="s">
        <v>1483</v>
      </c>
      <c r="Q8" s="15" t="s">
        <v>1643</v>
      </c>
      <c r="S8" s="214">
        <v>42354.679747604197</v>
      </c>
      <c r="T8" s="187" t="s">
        <v>1754</v>
      </c>
      <c r="U8" s="61" t="s">
        <v>723</v>
      </c>
      <c r="W8" s="61" t="s">
        <v>225</v>
      </c>
      <c r="X8" s="61" t="s">
        <v>4615</v>
      </c>
      <c r="Y8" s="61" t="s">
        <v>125</v>
      </c>
    </row>
    <row r="9" spans="1:25" x14ac:dyDescent="0.25">
      <c r="A9" s="187" t="s">
        <v>764</v>
      </c>
      <c r="B9" s="61" t="s">
        <v>90</v>
      </c>
      <c r="C9" s="61" t="s">
        <v>239</v>
      </c>
      <c r="D9" s="199" t="s">
        <v>949</v>
      </c>
      <c r="E9" s="199" t="s">
        <v>233</v>
      </c>
      <c r="F9" s="199" t="s">
        <v>1169</v>
      </c>
      <c r="G9" s="199" t="s">
        <v>72</v>
      </c>
      <c r="H9" s="199" t="s">
        <v>1245</v>
      </c>
      <c r="I9" s="199" t="s">
        <v>2284</v>
      </c>
      <c r="J9" s="199" t="s">
        <v>890</v>
      </c>
      <c r="K9" s="212">
        <v>20000</v>
      </c>
      <c r="L9" s="183">
        <f t="shared" si="0"/>
        <v>5000</v>
      </c>
      <c r="M9" s="213">
        <v>0</v>
      </c>
      <c r="N9" s="212">
        <v>25000</v>
      </c>
      <c r="O9" s="187" t="s">
        <v>1403</v>
      </c>
      <c r="P9" s="199" t="s">
        <v>1563</v>
      </c>
      <c r="Q9" s="15" t="s">
        <v>1720</v>
      </c>
      <c r="S9" s="214">
        <v>42473.420197303203</v>
      </c>
      <c r="T9" s="187" t="s">
        <v>1754</v>
      </c>
      <c r="U9" s="61" t="s">
        <v>723</v>
      </c>
      <c r="W9" s="61" t="s">
        <v>225</v>
      </c>
      <c r="X9" s="61" t="s">
        <v>4615</v>
      </c>
      <c r="Y9" s="61" t="s">
        <v>125</v>
      </c>
    </row>
    <row r="10" spans="1:25" x14ac:dyDescent="0.25">
      <c r="A10" s="187" t="s">
        <v>764</v>
      </c>
      <c r="B10" s="61" t="s">
        <v>90</v>
      </c>
      <c r="C10" s="61" t="s">
        <v>239</v>
      </c>
      <c r="D10" s="199" t="s">
        <v>949</v>
      </c>
      <c r="E10" s="199" t="s">
        <v>233</v>
      </c>
      <c r="F10" s="199" t="s">
        <v>1144</v>
      </c>
      <c r="G10" s="199" t="s">
        <v>72</v>
      </c>
      <c r="H10" s="199" t="s">
        <v>1242</v>
      </c>
      <c r="I10" s="199" t="s">
        <v>2284</v>
      </c>
      <c r="J10" s="199" t="s">
        <v>889</v>
      </c>
      <c r="K10" s="212">
        <v>166666.46</v>
      </c>
      <c r="L10" s="183">
        <f t="shared" si="0"/>
        <v>18518.540000000008</v>
      </c>
      <c r="M10" s="213">
        <v>0</v>
      </c>
      <c r="N10" s="212">
        <v>185185</v>
      </c>
      <c r="O10" s="187" t="s">
        <v>1370</v>
      </c>
      <c r="P10" s="199" t="s">
        <v>1530</v>
      </c>
      <c r="Q10" s="15" t="s">
        <v>1688</v>
      </c>
      <c r="S10" s="214">
        <v>42611.695355787</v>
      </c>
      <c r="T10" s="187" t="s">
        <v>1755</v>
      </c>
      <c r="U10" s="61" t="s">
        <v>723</v>
      </c>
      <c r="W10" s="61" t="s">
        <v>225</v>
      </c>
      <c r="X10" s="61" t="s">
        <v>4615</v>
      </c>
      <c r="Y10" s="61" t="s">
        <v>125</v>
      </c>
    </row>
    <row r="11" spans="1:25" x14ac:dyDescent="0.25">
      <c r="A11" s="187" t="s">
        <v>313</v>
      </c>
      <c r="B11" s="61" t="s">
        <v>90</v>
      </c>
      <c r="C11" s="61" t="s">
        <v>239</v>
      </c>
      <c r="D11" s="199" t="s">
        <v>239</v>
      </c>
      <c r="E11" s="199" t="s">
        <v>4643</v>
      </c>
      <c r="F11" s="199" t="s">
        <v>4644</v>
      </c>
      <c r="G11" s="199" t="s">
        <v>72</v>
      </c>
      <c r="H11" s="199" t="s">
        <v>1222</v>
      </c>
      <c r="I11" s="199" t="s">
        <v>1275</v>
      </c>
      <c r="J11" s="199" t="s">
        <v>870</v>
      </c>
      <c r="K11" s="212">
        <v>2000</v>
      </c>
      <c r="L11" s="183">
        <f t="shared" si="0"/>
        <v>1175</v>
      </c>
      <c r="M11" s="213">
        <v>0</v>
      </c>
      <c r="N11" s="212">
        <v>3175</v>
      </c>
      <c r="O11" s="187" t="s">
        <v>1338</v>
      </c>
      <c r="P11" s="199" t="s">
        <v>1498</v>
      </c>
      <c r="Q11" s="15" t="s">
        <v>1657</v>
      </c>
      <c r="S11" s="214">
        <v>42599.429764351902</v>
      </c>
      <c r="T11" s="187" t="s">
        <v>1755</v>
      </c>
      <c r="U11" s="61" t="s">
        <v>723</v>
      </c>
      <c r="W11" s="61" t="s">
        <v>82</v>
      </c>
      <c r="X11" s="61" t="s">
        <v>4615</v>
      </c>
      <c r="Y11" s="61" t="s">
        <v>126</v>
      </c>
    </row>
    <row r="12" spans="1:25" x14ac:dyDescent="0.25">
      <c r="A12" s="187" t="s">
        <v>313</v>
      </c>
      <c r="B12" s="61" t="s">
        <v>90</v>
      </c>
      <c r="C12" s="61" t="s">
        <v>239</v>
      </c>
      <c r="D12" s="199" t="s">
        <v>239</v>
      </c>
      <c r="E12" s="199" t="s">
        <v>4643</v>
      </c>
      <c r="F12" s="199" t="s">
        <v>4644</v>
      </c>
      <c r="G12" s="199" t="s">
        <v>72</v>
      </c>
      <c r="H12" s="199" t="s">
        <v>1222</v>
      </c>
      <c r="I12" s="199" t="s">
        <v>1275</v>
      </c>
      <c r="J12" s="199" t="s">
        <v>874</v>
      </c>
      <c r="K12" s="212">
        <v>49826.51</v>
      </c>
      <c r="L12" s="183">
        <f t="shared" si="0"/>
        <v>5536.489999999998</v>
      </c>
      <c r="M12" s="213">
        <v>0</v>
      </c>
      <c r="N12" s="212">
        <v>55363</v>
      </c>
      <c r="O12" s="187" t="s">
        <v>1338</v>
      </c>
      <c r="P12" s="199" t="s">
        <v>1498</v>
      </c>
      <c r="Q12" s="15" t="s">
        <v>1657</v>
      </c>
      <c r="S12" s="214">
        <v>42599.429764351902</v>
      </c>
      <c r="T12" s="187" t="s">
        <v>1755</v>
      </c>
      <c r="U12" s="61" t="s">
        <v>723</v>
      </c>
      <c r="W12" s="61" t="s">
        <v>82</v>
      </c>
      <c r="X12" s="61" t="s">
        <v>4615</v>
      </c>
      <c r="Y12" s="61" t="s">
        <v>126</v>
      </c>
    </row>
    <row r="13" spans="1:25" x14ac:dyDescent="0.25">
      <c r="A13" s="215" t="s">
        <v>313</v>
      </c>
      <c r="B13" s="61" t="s">
        <v>90</v>
      </c>
      <c r="C13" s="61" t="s">
        <v>239</v>
      </c>
      <c r="D13" s="199" t="s">
        <v>239</v>
      </c>
      <c r="E13" s="199" t="s">
        <v>1032</v>
      </c>
      <c r="F13" s="199" t="s">
        <v>1032</v>
      </c>
      <c r="G13" s="199" t="s">
        <v>72</v>
      </c>
      <c r="H13" s="199" t="s">
        <v>1238</v>
      </c>
      <c r="I13" s="199" t="s">
        <v>4629</v>
      </c>
      <c r="J13" s="199" t="s">
        <v>897</v>
      </c>
      <c r="K13" s="212">
        <v>25420.12</v>
      </c>
      <c r="L13" s="183">
        <f t="shared" si="0"/>
        <v>2824.880000000001</v>
      </c>
      <c r="M13" s="213">
        <v>0</v>
      </c>
      <c r="N13" s="212">
        <v>28245</v>
      </c>
      <c r="O13" s="187" t="s">
        <v>1363</v>
      </c>
      <c r="P13" s="199" t="s">
        <v>1523</v>
      </c>
      <c r="Q13" s="15" t="s">
        <v>1681</v>
      </c>
      <c r="S13" s="214">
        <v>42583.500491782397</v>
      </c>
      <c r="T13" s="187" t="s">
        <v>1755</v>
      </c>
      <c r="U13" s="61" t="s">
        <v>723</v>
      </c>
      <c r="W13" s="61" t="s">
        <v>82</v>
      </c>
      <c r="X13" s="61" t="s">
        <v>4615</v>
      </c>
      <c r="Y13" s="61" t="s">
        <v>124</v>
      </c>
    </row>
    <row r="14" spans="1:25" x14ac:dyDescent="0.25">
      <c r="A14" s="215" t="s">
        <v>313</v>
      </c>
      <c r="B14" s="61" t="s">
        <v>90</v>
      </c>
      <c r="C14" s="61" t="s">
        <v>239</v>
      </c>
      <c r="D14" s="199" t="s">
        <v>239</v>
      </c>
      <c r="E14" s="199" t="s">
        <v>1032</v>
      </c>
      <c r="F14" s="199" t="s">
        <v>1032</v>
      </c>
      <c r="G14" s="199" t="s">
        <v>72</v>
      </c>
      <c r="H14" s="199" t="s">
        <v>1238</v>
      </c>
      <c r="I14" s="199" t="s">
        <v>4629</v>
      </c>
      <c r="J14" s="199" t="s">
        <v>891</v>
      </c>
      <c r="K14" s="212">
        <v>120001.83</v>
      </c>
      <c r="L14" s="183">
        <f t="shared" si="0"/>
        <v>13333.169999999998</v>
      </c>
      <c r="M14" s="213">
        <v>0</v>
      </c>
      <c r="N14" s="212">
        <v>133335</v>
      </c>
      <c r="O14" s="187" t="s">
        <v>1363</v>
      </c>
      <c r="P14" s="199" t="s">
        <v>1523</v>
      </c>
      <c r="Q14" s="15" t="s">
        <v>1681</v>
      </c>
      <c r="S14" s="214">
        <v>42583.500491782397</v>
      </c>
      <c r="T14" s="187" t="s">
        <v>1755</v>
      </c>
      <c r="U14" s="61" t="s">
        <v>723</v>
      </c>
      <c r="W14" s="61" t="s">
        <v>82</v>
      </c>
      <c r="X14" s="61" t="s">
        <v>4615</v>
      </c>
      <c r="Y14" s="61" t="s">
        <v>124</v>
      </c>
    </row>
    <row r="15" spans="1:25" x14ac:dyDescent="0.25">
      <c r="A15" s="215" t="s">
        <v>825</v>
      </c>
      <c r="B15" s="186" t="s">
        <v>90</v>
      </c>
      <c r="C15" s="61" t="s">
        <v>239</v>
      </c>
      <c r="D15" s="199" t="s">
        <v>239</v>
      </c>
      <c r="E15" s="199" t="s">
        <v>41</v>
      </c>
      <c r="F15" s="199" t="s">
        <v>41</v>
      </c>
      <c r="G15" s="199" t="s">
        <v>72</v>
      </c>
      <c r="H15" s="199" t="s">
        <v>1255</v>
      </c>
      <c r="I15" s="199" t="s">
        <v>1275</v>
      </c>
      <c r="J15" s="199" t="s">
        <v>873</v>
      </c>
      <c r="K15" s="212">
        <v>1034309</v>
      </c>
      <c r="L15" s="183">
        <f t="shared" si="0"/>
        <v>258577</v>
      </c>
      <c r="M15" s="213">
        <v>0</v>
      </c>
      <c r="N15" s="212">
        <v>1292886</v>
      </c>
      <c r="O15" s="187" t="s">
        <v>1394</v>
      </c>
      <c r="P15" s="199" t="s">
        <v>1554</v>
      </c>
      <c r="Q15" s="15" t="s">
        <v>1711</v>
      </c>
      <c r="S15" s="214">
        <v>42376.698731631899</v>
      </c>
      <c r="T15" s="187" t="s">
        <v>1755</v>
      </c>
      <c r="U15" s="61" t="s">
        <v>723</v>
      </c>
      <c r="W15" s="61" t="s">
        <v>616</v>
      </c>
      <c r="X15" s="61" t="s">
        <v>4615</v>
      </c>
      <c r="Y15" s="61" t="s">
        <v>125</v>
      </c>
    </row>
    <row r="16" spans="1:25" x14ac:dyDescent="0.25">
      <c r="A16" s="187" t="s">
        <v>853</v>
      </c>
      <c r="B16" s="186" t="s">
        <v>18</v>
      </c>
      <c r="C16" s="61" t="s">
        <v>239</v>
      </c>
      <c r="D16" s="199" t="s">
        <v>239</v>
      </c>
      <c r="E16" s="199" t="s">
        <v>1072</v>
      </c>
      <c r="F16" s="199" t="s">
        <v>1185</v>
      </c>
      <c r="G16" s="199" t="s">
        <v>1192</v>
      </c>
      <c r="H16" s="199" t="s">
        <v>1267</v>
      </c>
      <c r="I16" s="199" t="s">
        <v>1274</v>
      </c>
      <c r="J16" s="199" t="s">
        <v>866</v>
      </c>
      <c r="K16" s="212">
        <v>28290</v>
      </c>
      <c r="L16" s="183">
        <f t="shared" si="0"/>
        <v>7073</v>
      </c>
      <c r="M16" s="213">
        <v>0</v>
      </c>
      <c r="N16" s="212">
        <v>35363</v>
      </c>
      <c r="O16" s="187" t="s">
        <v>1431</v>
      </c>
      <c r="P16" s="199" t="s">
        <v>1591</v>
      </c>
      <c r="Q16" s="15" t="s">
        <v>1746</v>
      </c>
      <c r="S16" s="214">
        <v>42633.646619247702</v>
      </c>
      <c r="T16" s="187" t="s">
        <v>1755</v>
      </c>
      <c r="U16" s="61" t="s">
        <v>723</v>
      </c>
      <c r="W16" s="61" t="s">
        <v>4616</v>
      </c>
      <c r="X16" s="61" t="s">
        <v>4617</v>
      </c>
      <c r="Y16" s="61" t="s">
        <v>124</v>
      </c>
    </row>
    <row r="17" spans="1:25" ht="30" x14ac:dyDescent="0.25">
      <c r="A17" s="187" t="s">
        <v>724</v>
      </c>
      <c r="B17" s="61" t="s">
        <v>18</v>
      </c>
      <c r="C17" s="61" t="s">
        <v>239</v>
      </c>
      <c r="D17" s="199" t="s">
        <v>239</v>
      </c>
      <c r="E17" s="199" t="s">
        <v>41</v>
      </c>
      <c r="F17" s="199" t="s">
        <v>41</v>
      </c>
      <c r="G17" s="199" t="s">
        <v>72</v>
      </c>
      <c r="H17" s="199" t="s">
        <v>1193</v>
      </c>
      <c r="I17" s="199" t="s">
        <v>1274</v>
      </c>
      <c r="J17" s="199" t="s">
        <v>866</v>
      </c>
      <c r="K17" s="212">
        <v>84000</v>
      </c>
      <c r="L17" s="183">
        <f t="shared" si="0"/>
        <v>21000</v>
      </c>
      <c r="M17" s="213">
        <v>0</v>
      </c>
      <c r="N17" s="212">
        <v>105000</v>
      </c>
      <c r="O17" s="187" t="s">
        <v>1279</v>
      </c>
      <c r="P17" s="199" t="s">
        <v>1439</v>
      </c>
      <c r="Q17" s="15" t="s">
        <v>1599</v>
      </c>
      <c r="S17" s="214">
        <v>42397.372552858797</v>
      </c>
      <c r="T17" s="187" t="s">
        <v>1755</v>
      </c>
      <c r="U17" s="61" t="s">
        <v>723</v>
      </c>
      <c r="W17" s="61" t="s">
        <v>4685</v>
      </c>
      <c r="X17" s="61" t="s">
        <v>4686</v>
      </c>
      <c r="Y17" s="61" t="s">
        <v>124</v>
      </c>
    </row>
    <row r="18" spans="1:25" x14ac:dyDescent="0.25">
      <c r="A18" s="187" t="s">
        <v>854</v>
      </c>
      <c r="B18" s="61" t="s">
        <v>18</v>
      </c>
      <c r="C18" s="61" t="s">
        <v>239</v>
      </c>
      <c r="D18" s="199" t="s">
        <v>239</v>
      </c>
      <c r="E18" s="199" t="s">
        <v>1073</v>
      </c>
      <c r="F18" s="199" t="s">
        <v>41</v>
      </c>
      <c r="G18" s="199" t="s">
        <v>1192</v>
      </c>
      <c r="H18" s="199" t="s">
        <v>1272</v>
      </c>
      <c r="I18" s="199" t="s">
        <v>1274</v>
      </c>
      <c r="J18" s="199" t="s">
        <v>912</v>
      </c>
      <c r="K18" s="212">
        <v>540.02</v>
      </c>
      <c r="L18" s="183">
        <f t="shared" si="0"/>
        <v>134.98000000000002</v>
      </c>
      <c r="M18" s="213">
        <v>0</v>
      </c>
      <c r="N18" s="212">
        <v>675</v>
      </c>
      <c r="O18" s="187" t="s">
        <v>1432</v>
      </c>
      <c r="P18" s="199" t="s">
        <v>1592</v>
      </c>
      <c r="Q18" s="15" t="s">
        <v>1747</v>
      </c>
      <c r="S18" s="214">
        <v>42482.621800578701</v>
      </c>
      <c r="T18" s="187" t="s">
        <v>1755</v>
      </c>
      <c r="U18" s="61" t="s">
        <v>723</v>
      </c>
      <c r="W18" s="61" t="s">
        <v>4625</v>
      </c>
      <c r="X18" s="61" t="s">
        <v>4615</v>
      </c>
      <c r="Y18" s="61" t="s">
        <v>125</v>
      </c>
    </row>
    <row r="19" spans="1:25" x14ac:dyDescent="0.25">
      <c r="A19" s="187" t="s">
        <v>854</v>
      </c>
      <c r="B19" s="61" t="s">
        <v>18</v>
      </c>
      <c r="C19" s="61" t="s">
        <v>239</v>
      </c>
      <c r="D19" s="199" t="s">
        <v>239</v>
      </c>
      <c r="E19" s="199" t="s">
        <v>1073</v>
      </c>
      <c r="F19" s="199" t="s">
        <v>41</v>
      </c>
      <c r="G19" s="199" t="s">
        <v>1192</v>
      </c>
      <c r="H19" s="199" t="s">
        <v>1272</v>
      </c>
      <c r="I19" s="199" t="s">
        <v>1274</v>
      </c>
      <c r="J19" s="199" t="s">
        <v>911</v>
      </c>
      <c r="K19" s="212">
        <v>11701.58</v>
      </c>
      <c r="L19" s="183">
        <f t="shared" si="0"/>
        <v>2925.42</v>
      </c>
      <c r="M19" s="213">
        <v>0</v>
      </c>
      <c r="N19" s="212">
        <v>14627</v>
      </c>
      <c r="O19" s="187" t="s">
        <v>1432</v>
      </c>
      <c r="P19" s="199" t="s">
        <v>1592</v>
      </c>
      <c r="Q19" s="15" t="s">
        <v>1747</v>
      </c>
      <c r="S19" s="214">
        <v>42482.621800578701</v>
      </c>
      <c r="T19" s="187" t="s">
        <v>1755</v>
      </c>
      <c r="U19" s="61" t="s">
        <v>723</v>
      </c>
      <c r="W19" s="61" t="s">
        <v>4625</v>
      </c>
      <c r="X19" s="61" t="s">
        <v>4615</v>
      </c>
      <c r="Y19" s="61" t="s">
        <v>125</v>
      </c>
    </row>
    <row r="20" spans="1:25" x14ac:dyDescent="0.25">
      <c r="A20" s="187" t="s">
        <v>854</v>
      </c>
      <c r="B20" s="61" t="s">
        <v>18</v>
      </c>
      <c r="C20" s="61" t="s">
        <v>239</v>
      </c>
      <c r="D20" s="199" t="s">
        <v>239</v>
      </c>
      <c r="E20" s="199" t="s">
        <v>1073</v>
      </c>
      <c r="F20" s="199" t="s">
        <v>41</v>
      </c>
      <c r="G20" s="199" t="s">
        <v>1192</v>
      </c>
      <c r="H20" s="199" t="s">
        <v>1272</v>
      </c>
      <c r="I20" s="199" t="s">
        <v>1274</v>
      </c>
      <c r="J20" s="199" t="s">
        <v>869</v>
      </c>
      <c r="K20" s="212">
        <v>13035.98</v>
      </c>
      <c r="L20" s="183">
        <f t="shared" si="0"/>
        <v>3259.0200000000004</v>
      </c>
      <c r="M20" s="213">
        <v>0</v>
      </c>
      <c r="N20" s="212">
        <v>16295</v>
      </c>
      <c r="O20" s="187" t="s">
        <v>1432</v>
      </c>
      <c r="P20" s="199" t="s">
        <v>1592</v>
      </c>
      <c r="Q20" s="15" t="s">
        <v>1747</v>
      </c>
      <c r="S20" s="214">
        <v>42482.621800578701</v>
      </c>
      <c r="T20" s="187" t="s">
        <v>1755</v>
      </c>
      <c r="U20" s="61" t="s">
        <v>723</v>
      </c>
      <c r="W20" s="61" t="s">
        <v>4625</v>
      </c>
      <c r="X20" s="61" t="s">
        <v>4615</v>
      </c>
      <c r="Y20" s="61" t="s">
        <v>125</v>
      </c>
    </row>
    <row r="21" spans="1:25" x14ac:dyDescent="0.25">
      <c r="A21" s="187" t="s">
        <v>728</v>
      </c>
      <c r="B21" s="61" t="s">
        <v>18</v>
      </c>
      <c r="C21" s="61" t="s">
        <v>239</v>
      </c>
      <c r="D21" s="199" t="s">
        <v>239</v>
      </c>
      <c r="E21" s="199" t="s">
        <v>976</v>
      </c>
      <c r="F21" s="199" t="s">
        <v>1080</v>
      </c>
      <c r="G21" s="199" t="s">
        <v>1191</v>
      </c>
      <c r="H21" s="199" t="s">
        <v>201</v>
      </c>
      <c r="I21" s="199" t="s">
        <v>1274</v>
      </c>
      <c r="J21" s="199" t="s">
        <v>869</v>
      </c>
      <c r="K21" s="212">
        <v>72800</v>
      </c>
      <c r="L21" s="183">
        <f t="shared" si="0"/>
        <v>2518200</v>
      </c>
      <c r="M21" s="213">
        <v>0</v>
      </c>
      <c r="N21" s="212">
        <v>2591000</v>
      </c>
      <c r="O21" s="187" t="s">
        <v>1283</v>
      </c>
      <c r="P21" s="199" t="s">
        <v>1443</v>
      </c>
      <c r="Q21" s="15" t="s">
        <v>1603</v>
      </c>
      <c r="S21" s="214">
        <v>42436.564053356502</v>
      </c>
      <c r="T21" s="187" t="s">
        <v>1755</v>
      </c>
      <c r="U21" s="61" t="s">
        <v>723</v>
      </c>
      <c r="W21" s="61" t="s">
        <v>4625</v>
      </c>
      <c r="X21" s="61" t="s">
        <v>4615</v>
      </c>
      <c r="Y21" s="61" t="s">
        <v>124</v>
      </c>
    </row>
    <row r="22" spans="1:25" x14ac:dyDescent="0.25">
      <c r="A22" s="187" t="s">
        <v>727</v>
      </c>
      <c r="B22" s="61" t="s">
        <v>18</v>
      </c>
      <c r="C22" s="61" t="s">
        <v>239</v>
      </c>
      <c r="D22" s="199" t="s">
        <v>239</v>
      </c>
      <c r="E22" s="199" t="s">
        <v>975</v>
      </c>
      <c r="F22" s="199" t="s">
        <v>1079</v>
      </c>
      <c r="G22" s="199" t="s">
        <v>1191</v>
      </c>
      <c r="H22" s="199" t="s">
        <v>201</v>
      </c>
      <c r="I22" s="199" t="s">
        <v>1274</v>
      </c>
      <c r="J22" s="199" t="s">
        <v>868</v>
      </c>
      <c r="K22" s="212">
        <v>160062.24</v>
      </c>
      <c r="L22" s="183">
        <f t="shared" si="0"/>
        <v>40015.56</v>
      </c>
      <c r="M22" s="213">
        <v>0</v>
      </c>
      <c r="N22" s="212">
        <v>200077.8</v>
      </c>
      <c r="O22" s="187" t="s">
        <v>1282</v>
      </c>
      <c r="P22" s="199" t="s">
        <v>1442</v>
      </c>
      <c r="Q22" s="15" t="s">
        <v>1602</v>
      </c>
      <c r="S22" s="214">
        <v>42620.716929594899</v>
      </c>
      <c r="T22" s="187" t="s">
        <v>1755</v>
      </c>
      <c r="U22" s="61" t="s">
        <v>723</v>
      </c>
      <c r="W22" s="61" t="s">
        <v>79</v>
      </c>
      <c r="X22" s="61" t="s">
        <v>4615</v>
      </c>
      <c r="Y22" s="61" t="s">
        <v>124</v>
      </c>
    </row>
    <row r="23" spans="1:25" x14ac:dyDescent="0.25">
      <c r="A23" s="187" t="s">
        <v>842</v>
      </c>
      <c r="B23" s="186" t="s">
        <v>18</v>
      </c>
      <c r="C23" s="61" t="s">
        <v>239</v>
      </c>
      <c r="D23" s="199" t="s">
        <v>239</v>
      </c>
      <c r="E23" s="199" t="s">
        <v>1063</v>
      </c>
      <c r="F23" s="199" t="s">
        <v>41</v>
      </c>
      <c r="G23" s="199" t="s">
        <v>193</v>
      </c>
      <c r="H23" s="199" t="s">
        <v>1244</v>
      </c>
      <c r="I23" s="199" t="s">
        <v>1275</v>
      </c>
      <c r="J23" s="199" t="s">
        <v>870</v>
      </c>
      <c r="K23" s="212">
        <v>421822.32</v>
      </c>
      <c r="L23" s="183">
        <f t="shared" si="0"/>
        <v>105455.67999999999</v>
      </c>
      <c r="M23" s="213">
        <v>0</v>
      </c>
      <c r="N23" s="212">
        <v>527278</v>
      </c>
      <c r="O23" s="187" t="s">
        <v>1418</v>
      </c>
      <c r="P23" s="199" t="s">
        <v>1578</v>
      </c>
      <c r="Q23" s="15" t="s">
        <v>1735</v>
      </c>
      <c r="S23" s="214">
        <v>42326.416177199098</v>
      </c>
      <c r="T23" s="187" t="s">
        <v>1755</v>
      </c>
      <c r="U23" s="61" t="s">
        <v>723</v>
      </c>
      <c r="W23" s="61" t="s">
        <v>79</v>
      </c>
      <c r="X23" s="61" t="s">
        <v>4615</v>
      </c>
      <c r="Y23" s="61" t="s">
        <v>125</v>
      </c>
    </row>
    <row r="24" spans="1:25" x14ac:dyDescent="0.25">
      <c r="A24" s="187" t="s">
        <v>726</v>
      </c>
      <c r="B24" s="186" t="s">
        <v>18</v>
      </c>
      <c r="C24" s="61" t="s">
        <v>239</v>
      </c>
      <c r="D24" s="199" t="s">
        <v>239</v>
      </c>
      <c r="E24" s="199" t="s">
        <v>41</v>
      </c>
      <c r="F24" s="199" t="s">
        <v>1078</v>
      </c>
      <c r="G24" s="199" t="s">
        <v>1191</v>
      </c>
      <c r="H24" s="199" t="s">
        <v>74</v>
      </c>
      <c r="I24" s="199" t="s">
        <v>1274</v>
      </c>
      <c r="J24" s="199" t="s">
        <v>868</v>
      </c>
      <c r="K24" s="212">
        <v>339166.4</v>
      </c>
      <c r="L24" s="183">
        <f t="shared" si="0"/>
        <v>84791.599999999977</v>
      </c>
      <c r="M24" s="213">
        <v>0</v>
      </c>
      <c r="N24" s="212">
        <v>423958</v>
      </c>
      <c r="O24" s="187" t="s">
        <v>1281</v>
      </c>
      <c r="P24" s="199" t="s">
        <v>1441</v>
      </c>
      <c r="Q24" s="15" t="s">
        <v>1601</v>
      </c>
      <c r="S24" s="214">
        <v>42482.621993831002</v>
      </c>
      <c r="T24" s="187" t="s">
        <v>1755</v>
      </c>
      <c r="U24" s="61" t="s">
        <v>723</v>
      </c>
      <c r="W24" s="61" t="s">
        <v>225</v>
      </c>
      <c r="X24" s="61" t="s">
        <v>4615</v>
      </c>
      <c r="Y24" s="61" t="s">
        <v>125</v>
      </c>
    </row>
    <row r="25" spans="1:25" x14ac:dyDescent="0.25">
      <c r="A25" s="215" t="s">
        <v>324</v>
      </c>
      <c r="B25" s="61" t="s">
        <v>18</v>
      </c>
      <c r="C25" s="61" t="s">
        <v>239</v>
      </c>
      <c r="D25" s="199" t="s">
        <v>239</v>
      </c>
      <c r="E25" s="199" t="s">
        <v>1029</v>
      </c>
      <c r="F25" s="199" t="s">
        <v>1138</v>
      </c>
      <c r="G25" s="199" t="s">
        <v>72</v>
      </c>
      <c r="H25" s="199" t="s">
        <v>1234</v>
      </c>
      <c r="I25" s="199" t="s">
        <v>1275</v>
      </c>
      <c r="J25" s="199" t="s">
        <v>873</v>
      </c>
      <c r="K25" s="212">
        <v>2752317</v>
      </c>
      <c r="L25" s="183">
        <f t="shared" si="0"/>
        <v>305813</v>
      </c>
      <c r="M25" s="213">
        <v>0</v>
      </c>
      <c r="N25" s="212">
        <v>3058130</v>
      </c>
      <c r="O25" s="187" t="s">
        <v>1358</v>
      </c>
      <c r="P25" s="199" t="s">
        <v>1518</v>
      </c>
      <c r="Q25" s="15" t="s">
        <v>1676</v>
      </c>
      <c r="S25" s="214">
        <v>42318.525133368101</v>
      </c>
      <c r="T25" s="187" t="s">
        <v>1755</v>
      </c>
      <c r="U25" s="61" t="s">
        <v>723</v>
      </c>
      <c r="W25" s="61" t="s">
        <v>4625</v>
      </c>
      <c r="X25" s="61" t="s">
        <v>4615</v>
      </c>
      <c r="Y25" s="61" t="s">
        <v>124</v>
      </c>
    </row>
    <row r="26" spans="1:25" x14ac:dyDescent="0.25">
      <c r="A26" s="187" t="s">
        <v>740</v>
      </c>
      <c r="B26" s="61" t="s">
        <v>18</v>
      </c>
      <c r="C26" s="61" t="s">
        <v>2794</v>
      </c>
      <c r="D26" s="199" t="s">
        <v>923</v>
      </c>
      <c r="E26" s="199" t="s">
        <v>985</v>
      </c>
      <c r="F26" s="199" t="s">
        <v>1092</v>
      </c>
      <c r="G26" s="199" t="s">
        <v>72</v>
      </c>
      <c r="H26" s="199" t="s">
        <v>1205</v>
      </c>
      <c r="I26" s="199" t="s">
        <v>1274</v>
      </c>
      <c r="J26" s="199" t="s">
        <v>877</v>
      </c>
      <c r="K26" s="212">
        <v>32702.01</v>
      </c>
      <c r="L26" s="183">
        <f t="shared" si="0"/>
        <v>14014.990000000002</v>
      </c>
      <c r="M26" s="213">
        <v>0</v>
      </c>
      <c r="N26" s="212">
        <v>46717</v>
      </c>
      <c r="O26" s="187" t="s">
        <v>1297</v>
      </c>
      <c r="P26" s="199" t="s">
        <v>1457</v>
      </c>
      <c r="Q26" s="15" t="s">
        <v>1617</v>
      </c>
      <c r="S26" s="214">
        <v>42482.622202002298</v>
      </c>
      <c r="T26" s="187" t="s">
        <v>1755</v>
      </c>
      <c r="U26" s="61" t="s">
        <v>723</v>
      </c>
      <c r="W26" s="61" t="s">
        <v>4624</v>
      </c>
      <c r="X26" s="61" t="s">
        <v>4615</v>
      </c>
      <c r="Y26" s="61" t="s">
        <v>125</v>
      </c>
    </row>
    <row r="27" spans="1:25" x14ac:dyDescent="0.25">
      <c r="A27" s="187" t="s">
        <v>732</v>
      </c>
      <c r="B27" s="61" t="s">
        <v>90</v>
      </c>
      <c r="C27" s="61" t="s">
        <v>2794</v>
      </c>
      <c r="D27" s="199" t="s">
        <v>343</v>
      </c>
      <c r="E27" s="199" t="s">
        <v>979</v>
      </c>
      <c r="F27" s="199" t="s">
        <v>1085</v>
      </c>
      <c r="G27" s="199" t="s">
        <v>72</v>
      </c>
      <c r="H27" s="199" t="s">
        <v>1197</v>
      </c>
      <c r="I27" s="199" t="s">
        <v>1275</v>
      </c>
      <c r="J27" s="199" t="s">
        <v>874</v>
      </c>
      <c r="K27" s="212">
        <v>17162.98</v>
      </c>
      <c r="L27" s="183">
        <f t="shared" si="0"/>
        <v>4290.75</v>
      </c>
      <c r="M27" s="213">
        <v>0</v>
      </c>
      <c r="N27" s="212">
        <v>21453.73</v>
      </c>
      <c r="O27" s="187" t="s">
        <v>1288</v>
      </c>
      <c r="P27" s="199" t="s">
        <v>1448</v>
      </c>
      <c r="Q27" s="15" t="s">
        <v>1608</v>
      </c>
      <c r="S27" s="214">
        <v>42599.723423414398</v>
      </c>
      <c r="T27" s="187" t="s">
        <v>1755</v>
      </c>
      <c r="U27" s="61" t="s">
        <v>723</v>
      </c>
      <c r="W27" s="61" t="s">
        <v>4624</v>
      </c>
      <c r="X27" s="61" t="s">
        <v>4615</v>
      </c>
      <c r="Y27" s="61" t="s">
        <v>124</v>
      </c>
    </row>
    <row r="28" spans="1:25" x14ac:dyDescent="0.25">
      <c r="A28" s="187" t="s">
        <v>859</v>
      </c>
      <c r="B28" s="61" t="s">
        <v>18</v>
      </c>
      <c r="C28" s="61" t="s">
        <v>2794</v>
      </c>
      <c r="D28" s="199" t="s">
        <v>972</v>
      </c>
      <c r="E28" s="199" t="s">
        <v>1076</v>
      </c>
      <c r="F28" s="199" t="s">
        <v>1188</v>
      </c>
      <c r="G28" s="199" t="s">
        <v>73</v>
      </c>
      <c r="H28" s="199" t="s">
        <v>1271</v>
      </c>
      <c r="I28" s="199" t="s">
        <v>2284</v>
      </c>
      <c r="J28" s="199" t="s">
        <v>884</v>
      </c>
      <c r="K28" s="212">
        <v>2080000</v>
      </c>
      <c r="L28" s="183">
        <f t="shared" si="0"/>
        <v>520000</v>
      </c>
      <c r="M28" s="213">
        <v>0</v>
      </c>
      <c r="N28" s="212">
        <v>2600000</v>
      </c>
      <c r="O28" s="187" t="s">
        <v>1437</v>
      </c>
      <c r="P28" s="199" t="s">
        <v>1597</v>
      </c>
      <c r="Q28" s="15" t="s">
        <v>1752</v>
      </c>
      <c r="S28" s="214">
        <v>42457.703814386601</v>
      </c>
      <c r="T28" s="187" t="s">
        <v>1755</v>
      </c>
      <c r="U28" s="61" t="s">
        <v>723</v>
      </c>
      <c r="W28" s="61" t="s">
        <v>4616</v>
      </c>
      <c r="X28" s="61" t="s">
        <v>4617</v>
      </c>
      <c r="Y28" s="61" t="s">
        <v>126</v>
      </c>
    </row>
    <row r="29" spans="1:25" x14ac:dyDescent="0.25">
      <c r="A29" s="187" t="s">
        <v>779</v>
      </c>
      <c r="B29" s="61" t="s">
        <v>90</v>
      </c>
      <c r="C29" s="61" t="s">
        <v>2794</v>
      </c>
      <c r="D29" s="199" t="s">
        <v>941</v>
      </c>
      <c r="E29" s="199" t="s">
        <v>1016</v>
      </c>
      <c r="F29" s="199" t="s">
        <v>1125</v>
      </c>
      <c r="G29" s="199" t="s">
        <v>72</v>
      </c>
      <c r="H29" s="199" t="s">
        <v>1221</v>
      </c>
      <c r="I29" s="199" t="s">
        <v>4629</v>
      </c>
      <c r="J29" s="199" t="s">
        <v>891</v>
      </c>
      <c r="K29" s="212">
        <v>3229.73</v>
      </c>
      <c r="L29" s="183">
        <f t="shared" si="0"/>
        <v>807.27</v>
      </c>
      <c r="M29" s="213">
        <v>0</v>
      </c>
      <c r="N29" s="212">
        <v>4037</v>
      </c>
      <c r="O29" s="187" t="s">
        <v>1339</v>
      </c>
      <c r="P29" s="199" t="s">
        <v>1499</v>
      </c>
      <c r="Q29" s="15" t="s">
        <v>1658</v>
      </c>
      <c r="S29" s="214">
        <v>42471.726083911999</v>
      </c>
      <c r="T29" s="187" t="s">
        <v>1754</v>
      </c>
      <c r="U29" s="61" t="s">
        <v>723</v>
      </c>
      <c r="W29" s="61" t="s">
        <v>4625</v>
      </c>
      <c r="X29" s="61" t="s">
        <v>4615</v>
      </c>
      <c r="Y29" s="61" t="s">
        <v>125</v>
      </c>
    </row>
    <row r="30" spans="1:25" x14ac:dyDescent="0.25">
      <c r="A30" s="187" t="s">
        <v>821</v>
      </c>
      <c r="B30" s="61" t="s">
        <v>18</v>
      </c>
      <c r="C30" s="61" t="s">
        <v>2794</v>
      </c>
      <c r="D30" s="199" t="s">
        <v>958</v>
      </c>
      <c r="E30" s="199" t="s">
        <v>1049</v>
      </c>
      <c r="F30" s="199" t="s">
        <v>1160</v>
      </c>
      <c r="G30" s="199" t="s">
        <v>72</v>
      </c>
      <c r="H30" s="199" t="s">
        <v>1254</v>
      </c>
      <c r="I30" s="199" t="s">
        <v>2284</v>
      </c>
      <c r="J30" s="199" t="s">
        <v>892</v>
      </c>
      <c r="K30" s="212">
        <v>238200</v>
      </c>
      <c r="L30" s="183">
        <f t="shared" si="0"/>
        <v>59550</v>
      </c>
      <c r="M30" s="213">
        <v>0</v>
      </c>
      <c r="N30" s="212">
        <v>297750</v>
      </c>
      <c r="O30" s="187" t="s">
        <v>1390</v>
      </c>
      <c r="P30" s="199" t="s">
        <v>1550</v>
      </c>
      <c r="Q30" s="15" t="s">
        <v>1707</v>
      </c>
      <c r="S30" s="214">
        <v>42318.529223113401</v>
      </c>
      <c r="T30" s="187" t="s">
        <v>1755</v>
      </c>
      <c r="U30" s="61" t="s">
        <v>723</v>
      </c>
      <c r="W30" s="61" t="s">
        <v>4620</v>
      </c>
      <c r="X30" s="61" t="s">
        <v>4619</v>
      </c>
      <c r="Y30" s="61" t="s">
        <v>124</v>
      </c>
    </row>
    <row r="31" spans="1:25" x14ac:dyDescent="0.25">
      <c r="A31" s="187" t="s">
        <v>857</v>
      </c>
      <c r="B31" s="61" t="s">
        <v>18</v>
      </c>
      <c r="C31" s="61" t="s">
        <v>2794</v>
      </c>
      <c r="D31" s="199" t="s">
        <v>328</v>
      </c>
      <c r="E31" s="199" t="s">
        <v>1075</v>
      </c>
      <c r="F31" s="199" t="s">
        <v>1186</v>
      </c>
      <c r="G31" s="199" t="s">
        <v>1192</v>
      </c>
      <c r="H31" s="199" t="s">
        <v>1259</v>
      </c>
      <c r="I31" s="199" t="s">
        <v>1274</v>
      </c>
      <c r="J31" s="199" t="s">
        <v>875</v>
      </c>
      <c r="K31" s="212">
        <v>19593</v>
      </c>
      <c r="L31" s="183">
        <f t="shared" si="0"/>
        <v>4898</v>
      </c>
      <c r="M31" s="213">
        <v>0</v>
      </c>
      <c r="N31" s="212">
        <v>24491</v>
      </c>
      <c r="O31" s="187" t="s">
        <v>1435</v>
      </c>
      <c r="P31" s="199" t="s">
        <v>1595</v>
      </c>
      <c r="Q31" s="15" t="s">
        <v>1750</v>
      </c>
      <c r="S31" s="214">
        <v>42391.4887592245</v>
      </c>
      <c r="T31" s="187" t="s">
        <v>1755</v>
      </c>
      <c r="U31" s="61" t="s">
        <v>723</v>
      </c>
      <c r="W31" s="61" t="s">
        <v>4625</v>
      </c>
      <c r="X31" s="61" t="s">
        <v>4615</v>
      </c>
      <c r="Y31" s="61" t="s">
        <v>125</v>
      </c>
    </row>
    <row r="32" spans="1:25" x14ac:dyDescent="0.25">
      <c r="A32" s="187" t="s">
        <v>755</v>
      </c>
      <c r="B32" s="61" t="s">
        <v>18</v>
      </c>
      <c r="C32" s="61" t="s">
        <v>2831</v>
      </c>
      <c r="D32" s="199" t="s">
        <v>91</v>
      </c>
      <c r="E32" s="199" t="s">
        <v>2772</v>
      </c>
      <c r="F32" s="199" t="s">
        <v>4642</v>
      </c>
      <c r="G32" s="199" t="s">
        <v>72</v>
      </c>
      <c r="H32" s="199" t="s">
        <v>1217</v>
      </c>
      <c r="I32" s="61" t="s">
        <v>1274</v>
      </c>
      <c r="J32" s="199" t="s">
        <v>868</v>
      </c>
      <c r="K32" s="212">
        <v>53847.82</v>
      </c>
      <c r="L32" s="183">
        <f t="shared" si="0"/>
        <v>23077.18</v>
      </c>
      <c r="M32" s="213">
        <v>0</v>
      </c>
      <c r="N32" s="212">
        <v>76925</v>
      </c>
      <c r="O32" s="187" t="s">
        <v>1314</v>
      </c>
      <c r="P32" s="199" t="s">
        <v>1474</v>
      </c>
      <c r="Q32" s="15" t="s">
        <v>1634</v>
      </c>
      <c r="S32" s="214">
        <v>42613.640685613398</v>
      </c>
      <c r="T32" s="187" t="s">
        <v>1755</v>
      </c>
      <c r="U32" s="61" t="s">
        <v>723</v>
      </c>
      <c r="W32" s="61" t="s">
        <v>82</v>
      </c>
      <c r="X32" s="61" t="s">
        <v>4615</v>
      </c>
      <c r="Y32" s="61" t="s">
        <v>126</v>
      </c>
    </row>
    <row r="33" spans="1:25" x14ac:dyDescent="0.25">
      <c r="A33" s="187" t="s">
        <v>846</v>
      </c>
      <c r="B33" s="61" t="s">
        <v>90</v>
      </c>
      <c r="C33" s="61" t="s">
        <v>2831</v>
      </c>
      <c r="D33" s="199" t="s">
        <v>347</v>
      </c>
      <c r="E33" s="199" t="s">
        <v>4677</v>
      </c>
      <c r="F33" s="199" t="s">
        <v>41</v>
      </c>
      <c r="G33" s="199" t="s">
        <v>193</v>
      </c>
      <c r="H33" s="199" t="s">
        <v>1270</v>
      </c>
      <c r="I33" s="61" t="s">
        <v>867</v>
      </c>
      <c r="J33" s="199" t="s">
        <v>910</v>
      </c>
      <c r="K33" s="212">
        <v>40000</v>
      </c>
      <c r="L33" s="183">
        <f t="shared" si="0"/>
        <v>10000</v>
      </c>
      <c r="M33" s="213">
        <v>0</v>
      </c>
      <c r="N33" s="212">
        <v>50000</v>
      </c>
      <c r="O33" s="187" t="s">
        <v>1424</v>
      </c>
      <c r="P33" s="199" t="s">
        <v>1584</v>
      </c>
      <c r="Q33" s="15" t="s">
        <v>1739</v>
      </c>
      <c r="S33" s="214">
        <v>42527.599888888901</v>
      </c>
      <c r="T33" s="187" t="s">
        <v>1755</v>
      </c>
      <c r="U33" s="61" t="s">
        <v>723</v>
      </c>
      <c r="W33" s="61" t="s">
        <v>624</v>
      </c>
      <c r="X33" s="61" t="s">
        <v>4615</v>
      </c>
      <c r="Y33" s="61" t="s">
        <v>124</v>
      </c>
    </row>
    <row r="34" spans="1:25" x14ac:dyDescent="0.25">
      <c r="A34" s="187" t="s">
        <v>846</v>
      </c>
      <c r="B34" s="61" t="s">
        <v>90</v>
      </c>
      <c r="C34" s="61" t="s">
        <v>2831</v>
      </c>
      <c r="D34" s="199" t="s">
        <v>347</v>
      </c>
      <c r="E34" s="199" t="s">
        <v>1051</v>
      </c>
      <c r="F34" s="199" t="s">
        <v>41</v>
      </c>
      <c r="G34" s="199" t="s">
        <v>193</v>
      </c>
      <c r="H34" s="199" t="s">
        <v>1270</v>
      </c>
      <c r="I34" s="199" t="s">
        <v>867</v>
      </c>
      <c r="J34" s="199" t="s">
        <v>902</v>
      </c>
      <c r="K34" s="212">
        <v>78444</v>
      </c>
      <c r="L34" s="183">
        <f t="shared" ref="L34:L65" si="1">N34-K34</f>
        <v>19611</v>
      </c>
      <c r="M34" s="213">
        <v>0</v>
      </c>
      <c r="N34" s="212">
        <v>98055</v>
      </c>
      <c r="O34" s="187" t="s">
        <v>1424</v>
      </c>
      <c r="P34" s="199" t="s">
        <v>1584</v>
      </c>
      <c r="Q34" s="15" t="s">
        <v>1739</v>
      </c>
      <c r="S34" s="214">
        <v>42527.599888888901</v>
      </c>
      <c r="T34" s="187" t="s">
        <v>1755</v>
      </c>
      <c r="U34" s="61" t="s">
        <v>723</v>
      </c>
      <c r="W34" s="61" t="s">
        <v>624</v>
      </c>
      <c r="X34" s="61" t="s">
        <v>4615</v>
      </c>
      <c r="Y34" s="61" t="s">
        <v>124</v>
      </c>
    </row>
    <row r="35" spans="1:25" x14ac:dyDescent="0.25">
      <c r="A35" s="187" t="s">
        <v>824</v>
      </c>
      <c r="B35" s="61" t="s">
        <v>90</v>
      </c>
      <c r="C35" s="61" t="s">
        <v>2831</v>
      </c>
      <c r="D35" s="199" t="s">
        <v>360</v>
      </c>
      <c r="E35" s="199" t="s">
        <v>479</v>
      </c>
      <c r="F35" s="199" t="s">
        <v>1163</v>
      </c>
      <c r="G35" s="199" t="s">
        <v>72</v>
      </c>
      <c r="H35" s="199" t="s">
        <v>1235</v>
      </c>
      <c r="I35" s="61" t="s">
        <v>1276</v>
      </c>
      <c r="J35" s="199" t="s">
        <v>904</v>
      </c>
      <c r="K35" s="212">
        <v>4616.05</v>
      </c>
      <c r="L35" s="183">
        <f t="shared" si="1"/>
        <v>512.94999999999982</v>
      </c>
      <c r="M35" s="213">
        <v>0</v>
      </c>
      <c r="N35" s="212">
        <v>5129</v>
      </c>
      <c r="O35" s="187" t="s">
        <v>1393</v>
      </c>
      <c r="P35" s="199" t="s">
        <v>1553</v>
      </c>
      <c r="Q35" s="15" t="s">
        <v>1710</v>
      </c>
      <c r="S35" s="214">
        <v>42507.731052974501</v>
      </c>
      <c r="T35" s="187" t="s">
        <v>1754</v>
      </c>
      <c r="U35" s="61" t="s">
        <v>723</v>
      </c>
      <c r="W35" s="61" t="s">
        <v>4624</v>
      </c>
      <c r="X35" s="61" t="s">
        <v>4615</v>
      </c>
      <c r="Y35" s="61" t="s">
        <v>124</v>
      </c>
    </row>
    <row r="36" spans="1:25" x14ac:dyDescent="0.25">
      <c r="A36" s="187" t="s">
        <v>824</v>
      </c>
      <c r="B36" s="61" t="s">
        <v>90</v>
      </c>
      <c r="C36" s="61" t="s">
        <v>2831</v>
      </c>
      <c r="D36" s="199" t="s">
        <v>360</v>
      </c>
      <c r="E36" s="199" t="s">
        <v>479</v>
      </c>
      <c r="F36" s="199" t="s">
        <v>1163</v>
      </c>
      <c r="G36" s="199" t="s">
        <v>72</v>
      </c>
      <c r="H36" s="199" t="s">
        <v>1235</v>
      </c>
      <c r="I36" s="199" t="s">
        <v>1276</v>
      </c>
      <c r="J36" s="199" t="s">
        <v>898</v>
      </c>
      <c r="K36" s="212">
        <v>392.68</v>
      </c>
      <c r="L36" s="183">
        <f t="shared" si="1"/>
        <v>43.319999999999993</v>
      </c>
      <c r="M36" s="213">
        <v>0</v>
      </c>
      <c r="N36" s="212">
        <v>436</v>
      </c>
      <c r="O36" s="187" t="s">
        <v>1393</v>
      </c>
      <c r="P36" s="199" t="s">
        <v>1553</v>
      </c>
      <c r="Q36" s="15" t="s">
        <v>1710</v>
      </c>
      <c r="S36" s="214">
        <v>42507.731052974501</v>
      </c>
      <c r="T36" s="187" t="s">
        <v>1754</v>
      </c>
      <c r="U36" s="61" t="s">
        <v>723</v>
      </c>
      <c r="W36" s="61" t="s">
        <v>4624</v>
      </c>
      <c r="X36" s="61" t="s">
        <v>4615</v>
      </c>
      <c r="Y36" s="61" t="s">
        <v>124</v>
      </c>
    </row>
    <row r="37" spans="1:25" x14ac:dyDescent="0.25">
      <c r="A37" s="187" t="s">
        <v>776</v>
      </c>
      <c r="B37" s="61" t="s">
        <v>90</v>
      </c>
      <c r="C37" s="61" t="s">
        <v>2831</v>
      </c>
      <c r="D37" s="199" t="s">
        <v>347</v>
      </c>
      <c r="E37" s="199" t="s">
        <v>1013</v>
      </c>
      <c r="F37" s="199" t="s">
        <v>1122</v>
      </c>
      <c r="G37" s="199" t="s">
        <v>72</v>
      </c>
      <c r="H37" s="199" t="s">
        <v>1223</v>
      </c>
      <c r="I37" s="199" t="s">
        <v>2284</v>
      </c>
      <c r="J37" s="199" t="s">
        <v>890</v>
      </c>
      <c r="K37" s="212">
        <v>288579</v>
      </c>
      <c r="L37" s="183">
        <f t="shared" si="1"/>
        <v>72145</v>
      </c>
      <c r="M37" s="213">
        <v>0</v>
      </c>
      <c r="N37" s="212">
        <v>360724</v>
      </c>
      <c r="O37" s="187" t="s">
        <v>1335</v>
      </c>
      <c r="P37" s="199" t="s">
        <v>1495</v>
      </c>
      <c r="Q37" s="15" t="s">
        <v>1655</v>
      </c>
      <c r="S37" s="214">
        <v>42305.411814548599</v>
      </c>
      <c r="T37" s="187" t="s">
        <v>1755</v>
      </c>
      <c r="U37" s="61" t="s">
        <v>723</v>
      </c>
      <c r="W37" s="61" t="s">
        <v>4616</v>
      </c>
      <c r="X37" s="61" t="s">
        <v>4617</v>
      </c>
      <c r="Y37" s="61" t="s">
        <v>126</v>
      </c>
    </row>
    <row r="38" spans="1:25" x14ac:dyDescent="0.25">
      <c r="A38" s="187" t="s">
        <v>831</v>
      </c>
      <c r="B38" s="61" t="s">
        <v>90</v>
      </c>
      <c r="C38" s="61" t="s">
        <v>2831</v>
      </c>
      <c r="D38" s="199" t="s">
        <v>915</v>
      </c>
      <c r="E38" s="199" t="s">
        <v>1053</v>
      </c>
      <c r="F38" s="199" t="s">
        <v>1170</v>
      </c>
      <c r="G38" s="199" t="s">
        <v>72</v>
      </c>
      <c r="H38" s="199" t="s">
        <v>1260</v>
      </c>
      <c r="I38" s="199" t="s">
        <v>1274</v>
      </c>
      <c r="J38" s="199" t="s">
        <v>906</v>
      </c>
      <c r="K38" s="212">
        <v>4086</v>
      </c>
      <c r="L38" s="183">
        <f t="shared" si="1"/>
        <v>1022</v>
      </c>
      <c r="M38" s="213">
        <v>0</v>
      </c>
      <c r="N38" s="212">
        <v>5108</v>
      </c>
      <c r="O38" s="187" t="s">
        <v>1404</v>
      </c>
      <c r="P38" s="199" t="s">
        <v>1564</v>
      </c>
      <c r="Q38" s="15" t="s">
        <v>1721</v>
      </c>
      <c r="S38" s="214">
        <v>42508.709396874998</v>
      </c>
      <c r="T38" s="187" t="s">
        <v>1754</v>
      </c>
      <c r="U38" s="61" t="s">
        <v>723</v>
      </c>
      <c r="W38" s="61" t="s">
        <v>4625</v>
      </c>
      <c r="X38" s="61" t="s">
        <v>4615</v>
      </c>
      <c r="Y38" s="61" t="s">
        <v>125</v>
      </c>
    </row>
    <row r="39" spans="1:25" x14ac:dyDescent="0.25">
      <c r="A39" s="187" t="s">
        <v>734</v>
      </c>
      <c r="B39" s="61" t="s">
        <v>90</v>
      </c>
      <c r="C39" s="61" t="s">
        <v>2831</v>
      </c>
      <c r="D39" s="199" t="s">
        <v>917</v>
      </c>
      <c r="E39" s="199" t="s">
        <v>4679</v>
      </c>
      <c r="F39" s="199" t="s">
        <v>4680</v>
      </c>
      <c r="G39" s="199" t="s">
        <v>72</v>
      </c>
      <c r="H39" s="199" t="s">
        <v>1199</v>
      </c>
      <c r="I39" s="199" t="s">
        <v>1276</v>
      </c>
      <c r="J39" s="199" t="s">
        <v>871</v>
      </c>
      <c r="K39" s="212">
        <v>335741</v>
      </c>
      <c r="L39" s="183">
        <f t="shared" si="1"/>
        <v>37305</v>
      </c>
      <c r="M39" s="213">
        <v>0</v>
      </c>
      <c r="N39" s="212">
        <v>373046</v>
      </c>
      <c r="O39" s="187" t="s">
        <v>1290</v>
      </c>
      <c r="P39" s="199" t="s">
        <v>1450</v>
      </c>
      <c r="Q39" s="15" t="s">
        <v>1610</v>
      </c>
      <c r="S39" s="214">
        <v>42384.439076469898</v>
      </c>
      <c r="T39" s="187" t="s">
        <v>1755</v>
      </c>
      <c r="U39" s="61" t="s">
        <v>723</v>
      </c>
      <c r="W39" s="61" t="s">
        <v>79</v>
      </c>
      <c r="X39" s="61" t="s">
        <v>4615</v>
      </c>
      <c r="Y39" s="61" t="s">
        <v>124</v>
      </c>
    </row>
    <row r="40" spans="1:25" ht="30" x14ac:dyDescent="0.25">
      <c r="A40" s="187" t="s">
        <v>730</v>
      </c>
      <c r="B40" s="61" t="s">
        <v>90</v>
      </c>
      <c r="C40" s="61" t="s">
        <v>2831</v>
      </c>
      <c r="D40" s="199" t="s">
        <v>915</v>
      </c>
      <c r="E40" s="199" t="s">
        <v>479</v>
      </c>
      <c r="F40" s="199" t="s">
        <v>1082</v>
      </c>
      <c r="G40" s="199" t="s">
        <v>1191</v>
      </c>
      <c r="H40" s="15" t="s">
        <v>75</v>
      </c>
      <c r="I40" s="199" t="s">
        <v>1276</v>
      </c>
      <c r="J40" s="199" t="s">
        <v>871</v>
      </c>
      <c r="K40" s="212">
        <v>1800003</v>
      </c>
      <c r="L40" s="183">
        <f t="shared" si="1"/>
        <v>245707</v>
      </c>
      <c r="M40" s="213">
        <v>0</v>
      </c>
      <c r="N40" s="212">
        <v>2045710</v>
      </c>
      <c r="O40" s="187" t="s">
        <v>1285</v>
      </c>
      <c r="P40" s="199" t="s">
        <v>1445</v>
      </c>
      <c r="Q40" s="15" t="s">
        <v>1605</v>
      </c>
      <c r="S40" s="214">
        <v>42544.514591666702</v>
      </c>
      <c r="T40" s="187" t="s">
        <v>1755</v>
      </c>
      <c r="U40" s="61" t="s">
        <v>723</v>
      </c>
      <c r="W40" s="61" t="s">
        <v>4624</v>
      </c>
      <c r="X40" s="61" t="s">
        <v>4615</v>
      </c>
      <c r="Y40" s="61" t="s">
        <v>124</v>
      </c>
    </row>
    <row r="41" spans="1:25" x14ac:dyDescent="0.25">
      <c r="A41" s="215" t="s">
        <v>363</v>
      </c>
      <c r="B41" s="61" t="s">
        <v>90</v>
      </c>
      <c r="C41" s="61" t="s">
        <v>2831</v>
      </c>
      <c r="D41" s="199" t="s">
        <v>364</v>
      </c>
      <c r="E41" s="199" t="s">
        <v>41</v>
      </c>
      <c r="F41" s="199" t="s">
        <v>41</v>
      </c>
      <c r="G41" s="199" t="s">
        <v>72</v>
      </c>
      <c r="H41" s="199" t="s">
        <v>1239</v>
      </c>
      <c r="I41" s="199" t="s">
        <v>1276</v>
      </c>
      <c r="J41" s="199" t="s">
        <v>871</v>
      </c>
      <c r="K41" s="212">
        <v>1175237</v>
      </c>
      <c r="L41" s="183">
        <f t="shared" si="1"/>
        <v>1436401</v>
      </c>
      <c r="M41" s="213">
        <v>0</v>
      </c>
      <c r="N41" s="212">
        <v>2611638</v>
      </c>
      <c r="O41" s="187" t="s">
        <v>1368</v>
      </c>
      <c r="P41" s="199" t="s">
        <v>1528</v>
      </c>
      <c r="Q41" s="15" t="s">
        <v>1686</v>
      </c>
      <c r="S41" s="214">
        <v>42418.5837340625</v>
      </c>
      <c r="T41" s="187" t="s">
        <v>1755</v>
      </c>
      <c r="U41" s="61" t="s">
        <v>723</v>
      </c>
      <c r="W41" s="61" t="s">
        <v>79</v>
      </c>
      <c r="X41" s="61" t="s">
        <v>4615</v>
      </c>
      <c r="Y41" s="61" t="s">
        <v>124</v>
      </c>
    </row>
    <row r="42" spans="1:25" x14ac:dyDescent="0.25">
      <c r="A42" s="187" t="s">
        <v>783</v>
      </c>
      <c r="B42" s="61" t="s">
        <v>90</v>
      </c>
      <c r="C42" s="61" t="s">
        <v>2831</v>
      </c>
      <c r="D42" s="199" t="s">
        <v>916</v>
      </c>
      <c r="E42" s="199" t="s">
        <v>4654</v>
      </c>
      <c r="F42" s="199" t="s">
        <v>1128</v>
      </c>
      <c r="G42" s="199" t="s">
        <v>72</v>
      </c>
      <c r="H42" s="199" t="s">
        <v>1225</v>
      </c>
      <c r="I42" s="199" t="s">
        <v>2284</v>
      </c>
      <c r="J42" s="199" t="s">
        <v>889</v>
      </c>
      <c r="K42" s="212">
        <v>141801</v>
      </c>
      <c r="L42" s="183">
        <f t="shared" si="1"/>
        <v>301327</v>
      </c>
      <c r="M42" s="213">
        <v>0</v>
      </c>
      <c r="N42" s="212">
        <v>443128</v>
      </c>
      <c r="O42" s="187" t="s">
        <v>1343</v>
      </c>
      <c r="P42" s="199" t="s">
        <v>1503</v>
      </c>
      <c r="Q42" s="15" t="s">
        <v>1661</v>
      </c>
      <c r="S42" s="214">
        <v>42411.734073495398</v>
      </c>
      <c r="T42" s="187" t="s">
        <v>1755</v>
      </c>
      <c r="U42" s="61" t="s">
        <v>723</v>
      </c>
      <c r="W42" s="61" t="s">
        <v>4624</v>
      </c>
      <c r="X42" s="61" t="s">
        <v>4615</v>
      </c>
      <c r="Y42" s="61" t="s">
        <v>125</v>
      </c>
    </row>
    <row r="43" spans="1:25" ht="45" x14ac:dyDescent="0.25">
      <c r="A43" s="187" t="s">
        <v>865</v>
      </c>
      <c r="B43" s="61" t="s">
        <v>90</v>
      </c>
      <c r="C43" s="61" t="s">
        <v>2831</v>
      </c>
      <c r="D43" s="199" t="s">
        <v>960</v>
      </c>
      <c r="E43" s="199" t="s">
        <v>979</v>
      </c>
      <c r="F43" s="199" t="s">
        <v>1164</v>
      </c>
      <c r="G43" s="199" t="s">
        <v>72</v>
      </c>
      <c r="H43" s="199" t="s">
        <v>1256</v>
      </c>
      <c r="I43" s="199" t="s">
        <v>2284</v>
      </c>
      <c r="J43" s="199" t="s">
        <v>892</v>
      </c>
      <c r="K43" s="212">
        <v>853051</v>
      </c>
      <c r="L43" s="183">
        <f t="shared" si="1"/>
        <v>924139</v>
      </c>
      <c r="M43" s="213">
        <v>0</v>
      </c>
      <c r="N43" s="212">
        <v>1777190</v>
      </c>
      <c r="O43" s="187" t="s">
        <v>1395</v>
      </c>
      <c r="P43" s="199" t="s">
        <v>1555</v>
      </c>
      <c r="Q43" s="15" t="s">
        <v>1712</v>
      </c>
      <c r="S43" s="214">
        <v>42355.649407326397</v>
      </c>
      <c r="T43" s="187" t="s">
        <v>1755</v>
      </c>
      <c r="U43" s="61" t="s">
        <v>723</v>
      </c>
      <c r="W43" s="61" t="s">
        <v>4624</v>
      </c>
      <c r="X43" s="61" t="s">
        <v>4615</v>
      </c>
      <c r="Y43" s="61" t="s">
        <v>124</v>
      </c>
    </row>
    <row r="44" spans="1:25" x14ac:dyDescent="0.25">
      <c r="A44" s="187" t="s">
        <v>753</v>
      </c>
      <c r="B44" s="61" t="s">
        <v>18</v>
      </c>
      <c r="C44" s="61" t="s">
        <v>2831</v>
      </c>
      <c r="D44" s="199" t="s">
        <v>932</v>
      </c>
      <c r="E44" s="199" t="s">
        <v>997</v>
      </c>
      <c r="F44" s="199" t="s">
        <v>1105</v>
      </c>
      <c r="G44" s="199" t="s">
        <v>72</v>
      </c>
      <c r="H44" s="199" t="s">
        <v>1213</v>
      </c>
      <c r="I44" s="199" t="s">
        <v>4630</v>
      </c>
      <c r="J44" s="199" t="s">
        <v>887</v>
      </c>
      <c r="K44" s="212">
        <v>278728</v>
      </c>
      <c r="L44" s="183">
        <f t="shared" si="1"/>
        <v>69682</v>
      </c>
      <c r="M44" s="213">
        <v>0</v>
      </c>
      <c r="N44" s="212">
        <v>348410</v>
      </c>
      <c r="O44" s="187" t="s">
        <v>1311</v>
      </c>
      <c r="P44" s="199" t="s">
        <v>1471</v>
      </c>
      <c r="Q44" s="15" t="s">
        <v>1631</v>
      </c>
      <c r="S44" s="214">
        <v>42416.606611724499</v>
      </c>
      <c r="T44" s="187" t="s">
        <v>1755</v>
      </c>
      <c r="U44" s="61" t="s">
        <v>723</v>
      </c>
      <c r="W44" s="61" t="s">
        <v>4616</v>
      </c>
      <c r="X44" s="61" t="s">
        <v>4617</v>
      </c>
      <c r="Y44" s="61" t="s">
        <v>126</v>
      </c>
    </row>
    <row r="45" spans="1:25" x14ac:dyDescent="0.25">
      <c r="A45" s="187" t="s">
        <v>753</v>
      </c>
      <c r="B45" s="61" t="s">
        <v>18</v>
      </c>
      <c r="C45" s="61" t="s">
        <v>2831</v>
      </c>
      <c r="D45" s="199" t="s">
        <v>932</v>
      </c>
      <c r="E45" s="199" t="s">
        <v>997</v>
      </c>
      <c r="F45" s="199" t="s">
        <v>1105</v>
      </c>
      <c r="G45" s="199" t="s">
        <v>72</v>
      </c>
      <c r="H45" s="199" t="s">
        <v>1213</v>
      </c>
      <c r="I45" s="199" t="s">
        <v>1274</v>
      </c>
      <c r="J45" s="199" t="s">
        <v>877</v>
      </c>
      <c r="K45" s="212">
        <v>56638</v>
      </c>
      <c r="L45" s="183">
        <f t="shared" si="1"/>
        <v>14160</v>
      </c>
      <c r="M45" s="213">
        <v>0</v>
      </c>
      <c r="N45" s="212">
        <v>70798</v>
      </c>
      <c r="O45" s="187" t="s">
        <v>1311</v>
      </c>
      <c r="P45" s="199" t="s">
        <v>1471</v>
      </c>
      <c r="Q45" s="15" t="s">
        <v>1631</v>
      </c>
      <c r="S45" s="214">
        <v>42361.720266354198</v>
      </c>
      <c r="T45" s="187" t="s">
        <v>1755</v>
      </c>
      <c r="U45" s="61" t="s">
        <v>723</v>
      </c>
      <c r="W45" s="61" t="s">
        <v>4616</v>
      </c>
      <c r="X45" s="61" t="s">
        <v>4617</v>
      </c>
      <c r="Y45" s="61" t="s">
        <v>126</v>
      </c>
    </row>
    <row r="46" spans="1:25" x14ac:dyDescent="0.25">
      <c r="A46" s="187" t="s">
        <v>753</v>
      </c>
      <c r="B46" s="61" t="s">
        <v>18</v>
      </c>
      <c r="C46" s="61" t="s">
        <v>2831</v>
      </c>
      <c r="D46" s="199" t="s">
        <v>932</v>
      </c>
      <c r="E46" s="199" t="s">
        <v>997</v>
      </c>
      <c r="F46" s="199" t="s">
        <v>1105</v>
      </c>
      <c r="G46" s="199" t="s">
        <v>72</v>
      </c>
      <c r="H46" s="199" t="s">
        <v>1213</v>
      </c>
      <c r="I46" s="199" t="s">
        <v>4630</v>
      </c>
      <c r="J46" s="199" t="s">
        <v>888</v>
      </c>
      <c r="K46" s="212">
        <v>291512</v>
      </c>
      <c r="L46" s="183">
        <f t="shared" si="1"/>
        <v>72878</v>
      </c>
      <c r="M46" s="213">
        <v>0</v>
      </c>
      <c r="N46" s="212">
        <v>364390</v>
      </c>
      <c r="O46" s="187" t="s">
        <v>1311</v>
      </c>
      <c r="P46" s="199" t="s">
        <v>1471</v>
      </c>
      <c r="Q46" s="15" t="s">
        <v>1631</v>
      </c>
      <c r="S46" s="214">
        <v>42416.606611724499</v>
      </c>
      <c r="T46" s="187" t="s">
        <v>1755</v>
      </c>
      <c r="U46" s="61" t="s">
        <v>723</v>
      </c>
      <c r="W46" s="61" t="s">
        <v>4616</v>
      </c>
      <c r="X46" s="61" t="s">
        <v>4617</v>
      </c>
      <c r="Y46" s="61" t="s">
        <v>126</v>
      </c>
    </row>
    <row r="47" spans="1:25" x14ac:dyDescent="0.25">
      <c r="A47" s="187" t="s">
        <v>823</v>
      </c>
      <c r="B47" s="61" t="s">
        <v>90</v>
      </c>
      <c r="C47" s="61" t="s">
        <v>2831</v>
      </c>
      <c r="D47" s="199" t="s">
        <v>351</v>
      </c>
      <c r="E47" s="199" t="s">
        <v>1051</v>
      </c>
      <c r="F47" s="199" t="s">
        <v>1162</v>
      </c>
      <c r="G47" s="199" t="s">
        <v>72</v>
      </c>
      <c r="H47" s="199" t="s">
        <v>1254</v>
      </c>
      <c r="I47" s="199" t="s">
        <v>1276</v>
      </c>
      <c r="J47" s="199" t="s">
        <v>903</v>
      </c>
      <c r="K47" s="212">
        <v>395507.75</v>
      </c>
      <c r="L47" s="183">
        <f t="shared" si="1"/>
        <v>263672.25</v>
      </c>
      <c r="M47" s="213">
        <v>0</v>
      </c>
      <c r="N47" s="212">
        <v>659180</v>
      </c>
      <c r="O47" s="187" t="s">
        <v>1392</v>
      </c>
      <c r="P47" s="199" t="s">
        <v>1552</v>
      </c>
      <c r="Q47" s="15" t="s">
        <v>1709</v>
      </c>
      <c r="S47" s="214">
        <v>42565.4812310532</v>
      </c>
      <c r="T47" s="187" t="s">
        <v>1755</v>
      </c>
      <c r="U47" s="61" t="s">
        <v>723</v>
      </c>
      <c r="W47" s="61" t="s">
        <v>4620</v>
      </c>
      <c r="X47" s="61" t="s">
        <v>4615</v>
      </c>
      <c r="Y47" s="61" t="s">
        <v>124</v>
      </c>
    </row>
    <row r="48" spans="1:25" x14ac:dyDescent="0.25">
      <c r="A48" s="187" t="s">
        <v>790</v>
      </c>
      <c r="B48" s="61" t="s">
        <v>18</v>
      </c>
      <c r="C48" s="61" t="s">
        <v>2831</v>
      </c>
      <c r="D48" s="199" t="s">
        <v>946</v>
      </c>
      <c r="E48" s="199" t="s">
        <v>1024</v>
      </c>
      <c r="F48" s="199" t="s">
        <v>1134</v>
      </c>
      <c r="G48" s="199" t="s">
        <v>72</v>
      </c>
      <c r="H48" s="199" t="s">
        <v>1229</v>
      </c>
      <c r="I48" s="199" t="s">
        <v>1274</v>
      </c>
      <c r="J48" s="199" t="s">
        <v>875</v>
      </c>
      <c r="K48" s="212">
        <v>262421</v>
      </c>
      <c r="L48" s="183">
        <f t="shared" si="1"/>
        <v>112466</v>
      </c>
      <c r="M48" s="213">
        <v>0</v>
      </c>
      <c r="N48" s="212">
        <v>374887</v>
      </c>
      <c r="O48" s="187" t="s">
        <v>1350</v>
      </c>
      <c r="P48" s="199" t="s">
        <v>1510</v>
      </c>
      <c r="Q48" s="15" t="s">
        <v>1668</v>
      </c>
      <c r="S48" s="214">
        <v>42361.720957604201</v>
      </c>
      <c r="T48" s="187" t="s">
        <v>1755</v>
      </c>
      <c r="U48" s="61" t="s">
        <v>723</v>
      </c>
      <c r="W48" s="61" t="s">
        <v>225</v>
      </c>
      <c r="X48" s="61" t="s">
        <v>4615</v>
      </c>
      <c r="Y48" s="61" t="s">
        <v>125</v>
      </c>
    </row>
    <row r="49" spans="1:25" x14ac:dyDescent="0.25">
      <c r="A49" s="187" t="s">
        <v>767</v>
      </c>
      <c r="B49" s="61" t="s">
        <v>18</v>
      </c>
      <c r="C49" s="61" t="s">
        <v>2831</v>
      </c>
      <c r="D49" s="199" t="s">
        <v>343</v>
      </c>
      <c r="E49" s="199" t="s">
        <v>1006</v>
      </c>
      <c r="F49" s="199" t="s">
        <v>1114</v>
      </c>
      <c r="G49" s="199" t="s">
        <v>72</v>
      </c>
      <c r="H49" s="199" t="s">
        <v>1219</v>
      </c>
      <c r="I49" s="61" t="s">
        <v>1274</v>
      </c>
      <c r="J49" s="199" t="s">
        <v>868</v>
      </c>
      <c r="K49" s="212">
        <v>190960</v>
      </c>
      <c r="L49" s="183">
        <f t="shared" si="1"/>
        <v>47740</v>
      </c>
      <c r="M49" s="213">
        <v>0</v>
      </c>
      <c r="N49" s="212">
        <v>238700</v>
      </c>
      <c r="O49" s="187" t="s">
        <v>1326</v>
      </c>
      <c r="P49" s="199" t="s">
        <v>1486</v>
      </c>
      <c r="Q49" s="15" t="s">
        <v>1646</v>
      </c>
      <c r="S49" s="214">
        <v>42558.406360567104</v>
      </c>
      <c r="T49" s="187" t="s">
        <v>1755</v>
      </c>
      <c r="U49" s="61" t="s">
        <v>723</v>
      </c>
      <c r="W49" s="61" t="s">
        <v>624</v>
      </c>
      <c r="X49" s="61" t="s">
        <v>1849</v>
      </c>
      <c r="Y49" s="61" t="s">
        <v>125</v>
      </c>
    </row>
    <row r="50" spans="1:25" x14ac:dyDescent="0.25">
      <c r="A50" s="187" t="s">
        <v>785</v>
      </c>
      <c r="B50" s="61" t="s">
        <v>18</v>
      </c>
      <c r="C50" s="61" t="s">
        <v>2831</v>
      </c>
      <c r="D50" s="199" t="s">
        <v>942</v>
      </c>
      <c r="E50" s="199" t="s">
        <v>1013</v>
      </c>
      <c r="F50" s="199" t="s">
        <v>1130</v>
      </c>
      <c r="G50" s="199" t="s">
        <v>72</v>
      </c>
      <c r="H50" s="199" t="s">
        <v>1227</v>
      </c>
      <c r="I50" s="199" t="s">
        <v>1278</v>
      </c>
      <c r="J50" s="199" t="s">
        <v>893</v>
      </c>
      <c r="K50" s="212">
        <v>39297</v>
      </c>
      <c r="L50" s="183">
        <f t="shared" si="1"/>
        <v>9824</v>
      </c>
      <c r="M50" s="213">
        <v>0</v>
      </c>
      <c r="N50" s="212">
        <v>49121</v>
      </c>
      <c r="O50" s="187" t="s">
        <v>1345</v>
      </c>
      <c r="P50" s="199" t="s">
        <v>1505</v>
      </c>
      <c r="Q50" s="15" t="s">
        <v>1663</v>
      </c>
      <c r="S50" s="214">
        <v>42355.649613657399</v>
      </c>
      <c r="T50" s="187" t="s">
        <v>1755</v>
      </c>
      <c r="U50" s="61" t="s">
        <v>723</v>
      </c>
      <c r="W50" s="61" t="s">
        <v>4616</v>
      </c>
      <c r="X50" s="61" t="s">
        <v>4617</v>
      </c>
      <c r="Y50" s="61" t="s">
        <v>126</v>
      </c>
    </row>
    <row r="51" spans="1:25" x14ac:dyDescent="0.25">
      <c r="A51" s="187" t="s">
        <v>733</v>
      </c>
      <c r="B51" s="61" t="s">
        <v>90</v>
      </c>
      <c r="C51" s="61" t="s">
        <v>2831</v>
      </c>
      <c r="D51" s="199" t="s">
        <v>916</v>
      </c>
      <c r="E51" s="199" t="s">
        <v>980</v>
      </c>
      <c r="F51" s="199" t="s">
        <v>1086</v>
      </c>
      <c r="G51" s="199" t="s">
        <v>72</v>
      </c>
      <c r="H51" s="199" t="s">
        <v>1198</v>
      </c>
      <c r="I51" s="199" t="s">
        <v>1275</v>
      </c>
      <c r="J51" s="199" t="s">
        <v>873</v>
      </c>
      <c r="K51" s="212">
        <v>445703.32</v>
      </c>
      <c r="L51" s="183">
        <f t="shared" si="1"/>
        <v>111425.68</v>
      </c>
      <c r="M51" s="213">
        <v>0</v>
      </c>
      <c r="N51" s="212">
        <v>557129</v>
      </c>
      <c r="O51" s="187" t="s">
        <v>1289</v>
      </c>
      <c r="P51" s="199" t="s">
        <v>1449</v>
      </c>
      <c r="Q51" s="15" t="s">
        <v>1609</v>
      </c>
      <c r="S51" s="214">
        <v>42296.5700665162</v>
      </c>
      <c r="T51" s="187" t="s">
        <v>1755</v>
      </c>
      <c r="U51" s="61" t="s">
        <v>723</v>
      </c>
      <c r="W51" s="61" t="s">
        <v>82</v>
      </c>
      <c r="X51" s="61" t="s">
        <v>4615</v>
      </c>
      <c r="Y51" s="61" t="s">
        <v>126</v>
      </c>
    </row>
    <row r="52" spans="1:25" x14ac:dyDescent="0.25">
      <c r="A52" s="187" t="s">
        <v>838</v>
      </c>
      <c r="B52" s="61" t="s">
        <v>90</v>
      </c>
      <c r="C52" s="61" t="s">
        <v>3246</v>
      </c>
      <c r="D52" s="199" t="s">
        <v>91</v>
      </c>
      <c r="E52" s="199" t="s">
        <v>1058</v>
      </c>
      <c r="F52" s="199" t="s">
        <v>4657</v>
      </c>
      <c r="G52" s="199" t="s">
        <v>72</v>
      </c>
      <c r="H52" s="199" t="s">
        <v>1260</v>
      </c>
      <c r="I52" s="199" t="s">
        <v>1274</v>
      </c>
      <c r="J52" s="199" t="s">
        <v>866</v>
      </c>
      <c r="K52" s="212">
        <v>137370.53</v>
      </c>
      <c r="L52" s="183">
        <f t="shared" si="1"/>
        <v>77271.47</v>
      </c>
      <c r="M52" s="213">
        <v>0</v>
      </c>
      <c r="N52" s="212">
        <v>214642</v>
      </c>
      <c r="O52" s="187" t="s">
        <v>1412</v>
      </c>
      <c r="P52" s="199" t="s">
        <v>1572</v>
      </c>
      <c r="Q52" s="15" t="s">
        <v>1729</v>
      </c>
      <c r="S52" s="214">
        <v>42436.563421377301</v>
      </c>
      <c r="T52" s="187" t="s">
        <v>1755</v>
      </c>
      <c r="U52" s="61" t="s">
        <v>723</v>
      </c>
      <c r="W52" s="61" t="s">
        <v>4625</v>
      </c>
      <c r="X52" s="61" t="s">
        <v>4615</v>
      </c>
      <c r="Y52" s="61" t="s">
        <v>125</v>
      </c>
    </row>
    <row r="53" spans="1:25" x14ac:dyDescent="0.25">
      <c r="A53" s="187" t="s">
        <v>827</v>
      </c>
      <c r="B53" s="61" t="s">
        <v>18</v>
      </c>
      <c r="C53" s="61" t="s">
        <v>3246</v>
      </c>
      <c r="D53" s="199" t="s">
        <v>940</v>
      </c>
      <c r="E53" s="199" t="s">
        <v>1014</v>
      </c>
      <c r="F53" s="199" t="s">
        <v>1165</v>
      </c>
      <c r="G53" s="199" t="s">
        <v>72</v>
      </c>
      <c r="H53" s="199" t="s">
        <v>1258</v>
      </c>
      <c r="I53" s="199" t="s">
        <v>4630</v>
      </c>
      <c r="J53" s="199" t="s">
        <v>905</v>
      </c>
      <c r="K53" s="212">
        <v>12460</v>
      </c>
      <c r="L53" s="183">
        <f t="shared" si="1"/>
        <v>10904</v>
      </c>
      <c r="M53" s="213">
        <v>0</v>
      </c>
      <c r="N53" s="212">
        <v>23364</v>
      </c>
      <c r="O53" s="187" t="s">
        <v>1397</v>
      </c>
      <c r="P53" s="199" t="s">
        <v>1557</v>
      </c>
      <c r="Q53" s="15" t="s">
        <v>1714</v>
      </c>
      <c r="S53" s="214">
        <v>42466.619122141201</v>
      </c>
      <c r="T53" s="187" t="s">
        <v>1755</v>
      </c>
      <c r="U53" s="61" t="s">
        <v>723</v>
      </c>
      <c r="W53" s="61" t="s">
        <v>4621</v>
      </c>
      <c r="X53" s="61" t="s">
        <v>1849</v>
      </c>
      <c r="Y53" s="61" t="s">
        <v>124</v>
      </c>
    </row>
    <row r="54" spans="1:25" x14ac:dyDescent="0.25">
      <c r="A54" s="187" t="s">
        <v>827</v>
      </c>
      <c r="B54" s="61" t="s">
        <v>18</v>
      </c>
      <c r="C54" s="61" t="s">
        <v>3246</v>
      </c>
      <c r="D54" s="199" t="s">
        <v>940</v>
      </c>
      <c r="E54" s="199" t="s">
        <v>1014</v>
      </c>
      <c r="F54" s="199" t="s">
        <v>1165</v>
      </c>
      <c r="G54" s="199" t="s">
        <v>72</v>
      </c>
      <c r="H54" s="199" t="s">
        <v>1258</v>
      </c>
      <c r="I54" s="199" t="s">
        <v>1274</v>
      </c>
      <c r="J54" s="199" t="s">
        <v>869</v>
      </c>
      <c r="K54" s="212">
        <v>6580</v>
      </c>
      <c r="L54" s="183">
        <f t="shared" si="1"/>
        <v>1645</v>
      </c>
      <c r="M54" s="213">
        <v>0</v>
      </c>
      <c r="N54" s="212">
        <v>8225</v>
      </c>
      <c r="O54" s="187" t="s">
        <v>1397</v>
      </c>
      <c r="P54" s="199" t="s">
        <v>1557</v>
      </c>
      <c r="Q54" s="15" t="s">
        <v>1714</v>
      </c>
      <c r="S54" s="214">
        <v>42466.619122141201</v>
      </c>
      <c r="T54" s="187" t="s">
        <v>1755</v>
      </c>
      <c r="U54" s="61" t="s">
        <v>723</v>
      </c>
      <c r="W54" s="61" t="s">
        <v>4621</v>
      </c>
      <c r="X54" s="61" t="s">
        <v>1849</v>
      </c>
      <c r="Y54" s="61" t="s">
        <v>124</v>
      </c>
    </row>
    <row r="55" spans="1:25" x14ac:dyDescent="0.25">
      <c r="A55" s="187" t="s">
        <v>839</v>
      </c>
      <c r="B55" s="61" t="s">
        <v>18</v>
      </c>
      <c r="C55" s="61" t="s">
        <v>3246</v>
      </c>
      <c r="D55" s="199" t="s">
        <v>968</v>
      </c>
      <c r="E55" s="199" t="s">
        <v>1060</v>
      </c>
      <c r="F55" s="199" t="s">
        <v>1176</v>
      </c>
      <c r="G55" s="199" t="s">
        <v>72</v>
      </c>
      <c r="H55" s="199" t="s">
        <v>1265</v>
      </c>
      <c r="I55" s="199" t="s">
        <v>4687</v>
      </c>
      <c r="J55" s="199" t="s">
        <v>907</v>
      </c>
      <c r="K55" s="212">
        <v>30000</v>
      </c>
      <c r="L55" s="183">
        <f t="shared" si="1"/>
        <v>0</v>
      </c>
      <c r="M55" s="213">
        <v>0</v>
      </c>
      <c r="N55" s="212">
        <v>30000</v>
      </c>
      <c r="O55" s="187" t="s">
        <v>1414</v>
      </c>
      <c r="P55" s="199" t="s">
        <v>1574</v>
      </c>
      <c r="Q55" s="15" t="s">
        <v>1731</v>
      </c>
      <c r="S55" s="214">
        <v>42577.531022488402</v>
      </c>
      <c r="T55" s="187" t="s">
        <v>1755</v>
      </c>
      <c r="U55" s="61" t="s">
        <v>723</v>
      </c>
      <c r="W55" s="61" t="s">
        <v>225</v>
      </c>
      <c r="X55" s="61" t="s">
        <v>4615</v>
      </c>
      <c r="Y55" s="61" t="s">
        <v>125</v>
      </c>
    </row>
    <row r="56" spans="1:25" x14ac:dyDescent="0.25">
      <c r="A56" s="187" t="s">
        <v>839</v>
      </c>
      <c r="B56" s="61" t="s">
        <v>18</v>
      </c>
      <c r="C56" s="61" t="s">
        <v>3246</v>
      </c>
      <c r="D56" s="199" t="s">
        <v>968</v>
      </c>
      <c r="E56" s="199" t="s">
        <v>1060</v>
      </c>
      <c r="F56" s="199" t="s">
        <v>1176</v>
      </c>
      <c r="G56" s="199" t="s">
        <v>72</v>
      </c>
      <c r="H56" s="199" t="s">
        <v>1265</v>
      </c>
      <c r="I56" s="199" t="s">
        <v>4687</v>
      </c>
      <c r="J56" s="199" t="s">
        <v>908</v>
      </c>
      <c r="K56" s="212">
        <v>147172</v>
      </c>
      <c r="L56" s="183">
        <f t="shared" si="1"/>
        <v>0</v>
      </c>
      <c r="M56" s="213">
        <v>0</v>
      </c>
      <c r="N56" s="212">
        <v>147172</v>
      </c>
      <c r="O56" s="187" t="s">
        <v>1414</v>
      </c>
      <c r="P56" s="199" t="s">
        <v>1574</v>
      </c>
      <c r="Q56" s="15" t="s">
        <v>1731</v>
      </c>
      <c r="S56" s="214">
        <v>42577.531022488402</v>
      </c>
      <c r="T56" s="187" t="s">
        <v>1755</v>
      </c>
      <c r="U56" s="61" t="s">
        <v>723</v>
      </c>
      <c r="W56" s="61" t="s">
        <v>225</v>
      </c>
      <c r="X56" s="61" t="s">
        <v>4615</v>
      </c>
      <c r="Y56" s="61" t="s">
        <v>125</v>
      </c>
    </row>
    <row r="57" spans="1:25" x14ac:dyDescent="0.25">
      <c r="A57" s="187" t="s">
        <v>807</v>
      </c>
      <c r="B57" s="61" t="s">
        <v>18</v>
      </c>
      <c r="C57" s="61" t="s">
        <v>3246</v>
      </c>
      <c r="D57" s="199" t="s">
        <v>954</v>
      </c>
      <c r="E57" s="199" t="s">
        <v>1038</v>
      </c>
      <c r="F57" s="199" t="s">
        <v>1147</v>
      </c>
      <c r="G57" s="199" t="s">
        <v>72</v>
      </c>
      <c r="H57" s="199" t="s">
        <v>1245</v>
      </c>
      <c r="I57" s="199" t="s">
        <v>1274</v>
      </c>
      <c r="J57" s="199" t="s">
        <v>866</v>
      </c>
      <c r="K57" s="212">
        <v>5776.77</v>
      </c>
      <c r="L57" s="183">
        <f t="shared" si="1"/>
        <v>1444.2299999999996</v>
      </c>
      <c r="M57" s="213">
        <v>0</v>
      </c>
      <c r="N57" s="212">
        <v>7221</v>
      </c>
      <c r="O57" s="187" t="s">
        <v>1373</v>
      </c>
      <c r="P57" s="199" t="s">
        <v>1533</v>
      </c>
      <c r="Q57" s="15" t="s">
        <v>1640</v>
      </c>
      <c r="S57" s="214">
        <v>42361.7215448727</v>
      </c>
      <c r="T57" s="187" t="s">
        <v>1755</v>
      </c>
      <c r="U57" s="61" t="s">
        <v>723</v>
      </c>
      <c r="W57" s="61" t="s">
        <v>225</v>
      </c>
      <c r="X57" s="61" t="s">
        <v>4615</v>
      </c>
      <c r="Y57" s="61" t="s">
        <v>125</v>
      </c>
    </row>
    <row r="58" spans="1:25" x14ac:dyDescent="0.25">
      <c r="A58" s="187" t="s">
        <v>798</v>
      </c>
      <c r="B58" s="61" t="s">
        <v>18</v>
      </c>
      <c r="C58" s="61" t="s">
        <v>3246</v>
      </c>
      <c r="D58" s="199" t="s">
        <v>951</v>
      </c>
      <c r="E58" s="199" t="s">
        <v>1031</v>
      </c>
      <c r="F58" s="199" t="s">
        <v>1140</v>
      </c>
      <c r="G58" s="199" t="s">
        <v>72</v>
      </c>
      <c r="H58" s="199" t="s">
        <v>1229</v>
      </c>
      <c r="I58" s="199" t="s">
        <v>1274</v>
      </c>
      <c r="J58" s="199" t="s">
        <v>877</v>
      </c>
      <c r="K58" s="212">
        <v>300000</v>
      </c>
      <c r="L58" s="183">
        <f t="shared" si="1"/>
        <v>75000</v>
      </c>
      <c r="M58" s="213">
        <v>0</v>
      </c>
      <c r="N58" s="212">
        <v>375000</v>
      </c>
      <c r="O58" s="187" t="s">
        <v>1361</v>
      </c>
      <c r="P58" s="199" t="s">
        <v>1521</v>
      </c>
      <c r="Q58" s="15" t="s">
        <v>1679</v>
      </c>
      <c r="S58" s="214">
        <v>42355.649754594902</v>
      </c>
      <c r="T58" s="187" t="s">
        <v>1755</v>
      </c>
      <c r="U58" s="61" t="s">
        <v>723</v>
      </c>
      <c r="W58" s="61" t="s">
        <v>4616</v>
      </c>
      <c r="X58" s="61" t="s">
        <v>4617</v>
      </c>
      <c r="Y58" s="61" t="s">
        <v>126</v>
      </c>
    </row>
    <row r="59" spans="1:25" x14ac:dyDescent="0.25">
      <c r="A59" s="187" t="s">
        <v>756</v>
      </c>
      <c r="B59" s="61" t="s">
        <v>18</v>
      </c>
      <c r="C59" s="61" t="s">
        <v>3246</v>
      </c>
      <c r="D59" s="199" t="s">
        <v>933</v>
      </c>
      <c r="E59" s="199" t="s">
        <v>1000</v>
      </c>
      <c r="F59" s="199" t="s">
        <v>1108</v>
      </c>
      <c r="G59" s="199" t="s">
        <v>72</v>
      </c>
      <c r="H59" s="199" t="s">
        <v>75</v>
      </c>
      <c r="I59" s="199" t="s">
        <v>1274</v>
      </c>
      <c r="J59" s="199" t="s">
        <v>875</v>
      </c>
      <c r="K59" s="212">
        <v>150063</v>
      </c>
      <c r="L59" s="183">
        <f t="shared" si="1"/>
        <v>37515</v>
      </c>
      <c r="M59" s="213">
        <v>0</v>
      </c>
      <c r="N59" s="212">
        <v>187578</v>
      </c>
      <c r="O59" s="187" t="s">
        <v>1315</v>
      </c>
      <c r="P59" s="199" t="s">
        <v>1475</v>
      </c>
      <c r="Q59" s="15" t="s">
        <v>1635</v>
      </c>
      <c r="S59" s="214">
        <v>42305.411615161996</v>
      </c>
      <c r="T59" s="187" t="s">
        <v>1755</v>
      </c>
      <c r="U59" s="61" t="s">
        <v>723</v>
      </c>
      <c r="W59" s="61" t="s">
        <v>4626</v>
      </c>
      <c r="X59" s="61" t="s">
        <v>1849</v>
      </c>
      <c r="Y59" s="61" t="s">
        <v>125</v>
      </c>
    </row>
    <row r="60" spans="1:25" x14ac:dyDescent="0.25">
      <c r="A60" s="187" t="s">
        <v>777</v>
      </c>
      <c r="B60" s="61" t="s">
        <v>18</v>
      </c>
      <c r="C60" s="61" t="s">
        <v>3246</v>
      </c>
      <c r="D60" s="199" t="s">
        <v>940</v>
      </c>
      <c r="E60" s="199" t="s">
        <v>1014</v>
      </c>
      <c r="F60" s="199" t="s">
        <v>1123</v>
      </c>
      <c r="G60" s="199" t="s">
        <v>72</v>
      </c>
      <c r="H60" s="199" t="s">
        <v>74</v>
      </c>
      <c r="I60" s="199" t="s">
        <v>1274</v>
      </c>
      <c r="J60" s="199" t="s">
        <v>877</v>
      </c>
      <c r="K60" s="212">
        <v>26000</v>
      </c>
      <c r="L60" s="183">
        <f t="shared" si="1"/>
        <v>6500</v>
      </c>
      <c r="M60" s="213">
        <v>0</v>
      </c>
      <c r="N60" s="212">
        <v>32500</v>
      </c>
      <c r="O60" s="187" t="s">
        <v>1336</v>
      </c>
      <c r="P60" s="199" t="s">
        <v>1496</v>
      </c>
      <c r="Q60" s="15" t="s">
        <v>1656</v>
      </c>
      <c r="S60" s="214">
        <v>42317.518793171301</v>
      </c>
      <c r="T60" s="187" t="s">
        <v>1755</v>
      </c>
      <c r="U60" s="61" t="s">
        <v>723</v>
      </c>
      <c r="W60" s="61" t="s">
        <v>225</v>
      </c>
      <c r="X60" s="61" t="s">
        <v>4615</v>
      </c>
      <c r="Y60" s="61" t="s">
        <v>125</v>
      </c>
    </row>
    <row r="61" spans="1:25" x14ac:dyDescent="0.25">
      <c r="A61" s="187" t="s">
        <v>748</v>
      </c>
      <c r="B61" s="61" t="s">
        <v>18</v>
      </c>
      <c r="C61" s="61" t="s">
        <v>2576</v>
      </c>
      <c r="D61" s="199" t="s">
        <v>929</v>
      </c>
      <c r="E61" s="199" t="s">
        <v>993</v>
      </c>
      <c r="F61" s="199" t="s">
        <v>1100</v>
      </c>
      <c r="G61" s="199" t="s">
        <v>72</v>
      </c>
      <c r="H61" s="199" t="s">
        <v>1210</v>
      </c>
      <c r="I61" s="199" t="s">
        <v>1274</v>
      </c>
      <c r="J61" s="199" t="s">
        <v>877</v>
      </c>
      <c r="K61" s="212">
        <v>33799.089999999997</v>
      </c>
      <c r="L61" s="183">
        <f t="shared" si="1"/>
        <v>26287.910000000003</v>
      </c>
      <c r="M61" s="213">
        <v>0</v>
      </c>
      <c r="N61" s="212">
        <v>60087</v>
      </c>
      <c r="O61" s="187" t="s">
        <v>1306</v>
      </c>
      <c r="P61" s="199" t="s">
        <v>1466</v>
      </c>
      <c r="Q61" s="15" t="s">
        <v>1626</v>
      </c>
      <c r="S61" s="214">
        <v>42467.737502858799</v>
      </c>
      <c r="T61" s="187" t="s">
        <v>1754</v>
      </c>
      <c r="U61" s="61" t="s">
        <v>723</v>
      </c>
      <c r="W61" s="61" t="s">
        <v>225</v>
      </c>
      <c r="X61" s="61" t="s">
        <v>4615</v>
      </c>
      <c r="Y61" s="61" t="s">
        <v>125</v>
      </c>
    </row>
    <row r="62" spans="1:25" x14ac:dyDescent="0.25">
      <c r="A62" s="187" t="s">
        <v>4613</v>
      </c>
      <c r="B62" s="61" t="s">
        <v>90</v>
      </c>
      <c r="C62" s="61" t="s">
        <v>2576</v>
      </c>
      <c r="D62" s="199" t="s">
        <v>247</v>
      </c>
      <c r="E62" s="199" t="s">
        <v>1042</v>
      </c>
      <c r="F62" s="199" t="s">
        <v>1153</v>
      </c>
      <c r="G62" s="199" t="s">
        <v>72</v>
      </c>
      <c r="H62" s="199" t="s">
        <v>1248</v>
      </c>
      <c r="I62" s="199" t="s">
        <v>1276</v>
      </c>
      <c r="J62" s="199" t="s">
        <v>901</v>
      </c>
      <c r="K62" s="212">
        <v>4241.3</v>
      </c>
      <c r="L62" s="183">
        <f t="shared" si="1"/>
        <v>-0.3000000000001819</v>
      </c>
      <c r="M62" s="213">
        <v>0</v>
      </c>
      <c r="N62" s="212">
        <v>4241</v>
      </c>
      <c r="O62" s="187" t="s">
        <v>1379</v>
      </c>
      <c r="P62" s="199" t="s">
        <v>1539</v>
      </c>
      <c r="Q62" s="15" t="s">
        <v>1696</v>
      </c>
      <c r="S62" s="214">
        <v>42305.749860995398</v>
      </c>
      <c r="T62" s="187" t="s">
        <v>1754</v>
      </c>
      <c r="U62" s="61" t="s">
        <v>723</v>
      </c>
      <c r="W62" s="61" t="s">
        <v>225</v>
      </c>
      <c r="X62" s="61" t="s">
        <v>4615</v>
      </c>
      <c r="Y62" s="61" t="s">
        <v>125</v>
      </c>
    </row>
    <row r="63" spans="1:25" x14ac:dyDescent="0.25">
      <c r="A63" s="187" t="s">
        <v>745</v>
      </c>
      <c r="B63" s="61" t="s">
        <v>18</v>
      </c>
      <c r="C63" s="61" t="s">
        <v>2576</v>
      </c>
      <c r="D63" s="199" t="s">
        <v>927</v>
      </c>
      <c r="E63" s="199" t="s">
        <v>990</v>
      </c>
      <c r="F63" s="199" t="s">
        <v>1097</v>
      </c>
      <c r="G63" s="199" t="s">
        <v>72</v>
      </c>
      <c r="H63" s="199" t="s">
        <v>74</v>
      </c>
      <c r="I63" s="199" t="s">
        <v>1274</v>
      </c>
      <c r="J63" s="199" t="s">
        <v>875</v>
      </c>
      <c r="K63" s="212">
        <v>58500</v>
      </c>
      <c r="L63" s="183">
        <f t="shared" si="1"/>
        <v>19500</v>
      </c>
      <c r="M63" s="213">
        <v>0</v>
      </c>
      <c r="N63" s="212">
        <v>78000</v>
      </c>
      <c r="O63" s="187" t="s">
        <v>1303</v>
      </c>
      <c r="P63" s="199" t="s">
        <v>1463</v>
      </c>
      <c r="Q63" s="15" t="s">
        <v>1623</v>
      </c>
      <c r="S63" s="214">
        <v>42326.416807604197</v>
      </c>
      <c r="T63" s="187" t="s">
        <v>1755</v>
      </c>
      <c r="U63" s="61" t="s">
        <v>723</v>
      </c>
      <c r="W63" s="61" t="s">
        <v>225</v>
      </c>
      <c r="X63" s="61" t="s">
        <v>4615</v>
      </c>
      <c r="Y63" s="61" t="s">
        <v>125</v>
      </c>
    </row>
    <row r="64" spans="1:25" x14ac:dyDescent="0.25">
      <c r="A64" s="187" t="s">
        <v>737</v>
      </c>
      <c r="B64" s="61" t="s">
        <v>18</v>
      </c>
      <c r="C64" s="61" t="s">
        <v>2576</v>
      </c>
      <c r="D64" s="199" t="s">
        <v>920</v>
      </c>
      <c r="E64" s="199" t="s">
        <v>983</v>
      </c>
      <c r="F64" s="199" t="s">
        <v>1089</v>
      </c>
      <c r="G64" s="199" t="s">
        <v>72</v>
      </c>
      <c r="H64" s="199" t="s">
        <v>1202</v>
      </c>
      <c r="I64" s="199" t="s">
        <v>1274</v>
      </c>
      <c r="J64" s="199" t="s">
        <v>877</v>
      </c>
      <c r="K64" s="212">
        <v>703787</v>
      </c>
      <c r="L64" s="183">
        <f t="shared" si="1"/>
        <v>234595</v>
      </c>
      <c r="M64" s="213">
        <v>0</v>
      </c>
      <c r="N64" s="212">
        <v>938382</v>
      </c>
      <c r="O64" s="187" t="s">
        <v>1294</v>
      </c>
      <c r="P64" s="199" t="s">
        <v>1454</v>
      </c>
      <c r="Q64" s="15" t="s">
        <v>1614</v>
      </c>
      <c r="S64" s="214">
        <v>42360.666783136599</v>
      </c>
      <c r="T64" s="187" t="s">
        <v>1755</v>
      </c>
      <c r="U64" s="61" t="s">
        <v>723</v>
      </c>
      <c r="W64" s="61" t="s">
        <v>79</v>
      </c>
      <c r="X64" s="61" t="s">
        <v>4615</v>
      </c>
      <c r="Y64" s="61" t="s">
        <v>125</v>
      </c>
    </row>
    <row r="65" spans="1:25" x14ac:dyDescent="0.25">
      <c r="A65" s="187" t="s">
        <v>737</v>
      </c>
      <c r="B65" s="61" t="s">
        <v>18</v>
      </c>
      <c r="C65" s="61" t="s">
        <v>2576</v>
      </c>
      <c r="D65" s="199" t="s">
        <v>920</v>
      </c>
      <c r="E65" s="199" t="s">
        <v>983</v>
      </c>
      <c r="F65" s="199" t="s">
        <v>1089</v>
      </c>
      <c r="G65" s="199" t="s">
        <v>72</v>
      </c>
      <c r="H65" s="199" t="s">
        <v>1202</v>
      </c>
      <c r="I65" s="199" t="s">
        <v>1274</v>
      </c>
      <c r="J65" s="199" t="s">
        <v>868</v>
      </c>
      <c r="K65" s="212">
        <v>1125287</v>
      </c>
      <c r="L65" s="183">
        <f t="shared" si="1"/>
        <v>375096</v>
      </c>
      <c r="M65" s="213">
        <v>0</v>
      </c>
      <c r="N65" s="212">
        <v>1500383</v>
      </c>
      <c r="O65" s="187" t="s">
        <v>1294</v>
      </c>
      <c r="P65" s="199" t="s">
        <v>1454</v>
      </c>
      <c r="Q65" s="15" t="s">
        <v>1614</v>
      </c>
      <c r="S65" s="214">
        <v>42495.475077430601</v>
      </c>
      <c r="T65" s="187" t="s">
        <v>1755</v>
      </c>
      <c r="U65" s="61" t="s">
        <v>723</v>
      </c>
      <c r="W65" s="61" t="s">
        <v>79</v>
      </c>
      <c r="X65" s="61" t="s">
        <v>4622</v>
      </c>
      <c r="Y65" s="61" t="s">
        <v>124</v>
      </c>
    </row>
    <row r="66" spans="1:25" x14ac:dyDescent="0.25">
      <c r="A66" s="187" t="s">
        <v>830</v>
      </c>
      <c r="B66" s="61" t="s">
        <v>90</v>
      </c>
      <c r="C66" s="61" t="s">
        <v>2576</v>
      </c>
      <c r="D66" s="199" t="s">
        <v>964</v>
      </c>
      <c r="E66" s="199" t="s">
        <v>1052</v>
      </c>
      <c r="F66" s="199" t="s">
        <v>41</v>
      </c>
      <c r="G66" s="199" t="s">
        <v>72</v>
      </c>
      <c r="H66" s="199" t="s">
        <v>1254</v>
      </c>
      <c r="I66" s="199" t="s">
        <v>1276</v>
      </c>
      <c r="J66" s="199" t="s">
        <v>871</v>
      </c>
      <c r="K66" s="212">
        <v>274554.93</v>
      </c>
      <c r="L66" s="183">
        <f t="shared" ref="L66:L97" si="2">N66-K66</f>
        <v>30506.070000000007</v>
      </c>
      <c r="M66" s="213">
        <v>0</v>
      </c>
      <c r="N66" s="212">
        <v>305061</v>
      </c>
      <c r="O66" s="187" t="s">
        <v>1402</v>
      </c>
      <c r="P66" s="199" t="s">
        <v>1562</v>
      </c>
      <c r="Q66" s="15" t="s">
        <v>1719</v>
      </c>
      <c r="S66" s="214">
        <v>42599.429868946798</v>
      </c>
      <c r="T66" s="187" t="s">
        <v>1755</v>
      </c>
      <c r="U66" s="61" t="s">
        <v>723</v>
      </c>
      <c r="W66" s="61" t="s">
        <v>4624</v>
      </c>
      <c r="X66" s="61" t="s">
        <v>4615</v>
      </c>
      <c r="Y66" s="61" t="s">
        <v>124</v>
      </c>
    </row>
    <row r="67" spans="1:25" x14ac:dyDescent="0.25">
      <c r="A67" s="187" t="s">
        <v>803</v>
      </c>
      <c r="B67" s="61" t="s">
        <v>90</v>
      </c>
      <c r="C67" s="61" t="s">
        <v>2601</v>
      </c>
      <c r="D67" s="199" t="s">
        <v>404</v>
      </c>
      <c r="E67" s="199" t="s">
        <v>1034</v>
      </c>
      <c r="F67" s="199" t="s">
        <v>1142</v>
      </c>
      <c r="G67" s="199" t="s">
        <v>72</v>
      </c>
      <c r="H67" s="199" t="s">
        <v>1221</v>
      </c>
      <c r="I67" s="199" t="s">
        <v>1277</v>
      </c>
      <c r="J67" s="199" t="s">
        <v>882</v>
      </c>
      <c r="K67" s="212">
        <v>1559549</v>
      </c>
      <c r="L67" s="183">
        <f t="shared" si="2"/>
        <v>389887</v>
      </c>
      <c r="M67" s="213">
        <v>0</v>
      </c>
      <c r="N67" s="212">
        <v>1949436</v>
      </c>
      <c r="O67" s="187" t="s">
        <v>1367</v>
      </c>
      <c r="P67" s="199" t="s">
        <v>1527</v>
      </c>
      <c r="Q67" s="15" t="s">
        <v>1685</v>
      </c>
      <c r="S67" s="214">
        <v>42305.4117184028</v>
      </c>
      <c r="T67" s="187" t="s">
        <v>1755</v>
      </c>
      <c r="U67" s="61" t="s">
        <v>723</v>
      </c>
      <c r="W67" s="61" t="s">
        <v>4625</v>
      </c>
      <c r="X67" s="61" t="s">
        <v>4615</v>
      </c>
      <c r="Y67" s="61" t="s">
        <v>125</v>
      </c>
    </row>
    <row r="68" spans="1:25" x14ac:dyDescent="0.25">
      <c r="A68" s="187" t="s">
        <v>396</v>
      </c>
      <c r="B68" s="61" t="s">
        <v>90</v>
      </c>
      <c r="C68" s="61" t="s">
        <v>2601</v>
      </c>
      <c r="D68" s="199" t="s">
        <v>397</v>
      </c>
      <c r="E68" s="199" t="s">
        <v>982</v>
      </c>
      <c r="F68" s="199" t="s">
        <v>1088</v>
      </c>
      <c r="G68" s="199" t="s">
        <v>72</v>
      </c>
      <c r="H68" s="199" t="s">
        <v>1195</v>
      </c>
      <c r="I68" s="199" t="s">
        <v>1277</v>
      </c>
      <c r="J68" s="199" t="s">
        <v>876</v>
      </c>
      <c r="K68" s="212">
        <v>245769</v>
      </c>
      <c r="L68" s="183">
        <f t="shared" si="2"/>
        <v>61442</v>
      </c>
      <c r="M68" s="213">
        <v>0</v>
      </c>
      <c r="N68" s="212">
        <v>307211</v>
      </c>
      <c r="O68" s="187" t="s">
        <v>1293</v>
      </c>
      <c r="P68" s="199" t="s">
        <v>1453</v>
      </c>
      <c r="Q68" s="15" t="s">
        <v>1613</v>
      </c>
      <c r="S68" s="214">
        <v>42565.481358946803</v>
      </c>
      <c r="T68" s="187" t="s">
        <v>1755</v>
      </c>
      <c r="U68" s="61" t="s">
        <v>723</v>
      </c>
      <c r="W68" s="61" t="s">
        <v>4625</v>
      </c>
      <c r="X68" s="61" t="s">
        <v>4615</v>
      </c>
      <c r="Y68" s="61" t="s">
        <v>124</v>
      </c>
    </row>
    <row r="69" spans="1:25" x14ac:dyDescent="0.25">
      <c r="A69" s="187" t="s">
        <v>396</v>
      </c>
      <c r="B69" s="61" t="s">
        <v>90</v>
      </c>
      <c r="C69" s="61" t="s">
        <v>2601</v>
      </c>
      <c r="D69" s="199" t="s">
        <v>919</v>
      </c>
      <c r="E69" s="199" t="s">
        <v>4676</v>
      </c>
      <c r="F69" s="199" t="s">
        <v>1088</v>
      </c>
      <c r="G69" s="199" t="s">
        <v>72</v>
      </c>
      <c r="H69" s="199" t="s">
        <v>1195</v>
      </c>
      <c r="I69" s="199" t="s">
        <v>1274</v>
      </c>
      <c r="J69" s="199" t="s">
        <v>875</v>
      </c>
      <c r="K69" s="212">
        <v>254780</v>
      </c>
      <c r="L69" s="183">
        <f t="shared" si="2"/>
        <v>109191</v>
      </c>
      <c r="M69" s="213">
        <v>0</v>
      </c>
      <c r="N69" s="212">
        <v>363971</v>
      </c>
      <c r="O69" s="187" t="s">
        <v>1293</v>
      </c>
      <c r="P69" s="199" t="s">
        <v>1453</v>
      </c>
      <c r="Q69" s="15" t="s">
        <v>1613</v>
      </c>
      <c r="S69" s="214">
        <v>42565.481358946803</v>
      </c>
      <c r="T69" s="187" t="s">
        <v>1755</v>
      </c>
      <c r="U69" s="61" t="s">
        <v>723</v>
      </c>
      <c r="W69" s="61" t="s">
        <v>4625</v>
      </c>
      <c r="X69" s="61" t="s">
        <v>4615</v>
      </c>
      <c r="Y69" s="61" t="s">
        <v>124</v>
      </c>
    </row>
    <row r="70" spans="1:25" x14ac:dyDescent="0.25">
      <c r="A70" s="187" t="s">
        <v>396</v>
      </c>
      <c r="B70" s="61" t="s">
        <v>90</v>
      </c>
      <c r="C70" s="61" t="s">
        <v>2601</v>
      </c>
      <c r="D70" s="199" t="s">
        <v>918</v>
      </c>
      <c r="E70" s="199" t="s">
        <v>982</v>
      </c>
      <c r="F70" s="199" t="s">
        <v>1088</v>
      </c>
      <c r="G70" s="199" t="s">
        <v>72</v>
      </c>
      <c r="H70" s="199" t="s">
        <v>1195</v>
      </c>
      <c r="I70" s="199" t="s">
        <v>1274</v>
      </c>
      <c r="J70" s="199" t="s">
        <v>866</v>
      </c>
      <c r="K70" s="212">
        <v>103443</v>
      </c>
      <c r="L70" s="183">
        <f t="shared" si="2"/>
        <v>133594</v>
      </c>
      <c r="M70" s="213">
        <v>0</v>
      </c>
      <c r="N70" s="212">
        <v>237037</v>
      </c>
      <c r="O70" s="187" t="s">
        <v>1293</v>
      </c>
      <c r="P70" s="199" t="s">
        <v>1453</v>
      </c>
      <c r="Q70" s="15" t="s">
        <v>1613</v>
      </c>
      <c r="S70" s="214">
        <v>42565.481358946803</v>
      </c>
      <c r="T70" s="187" t="s">
        <v>1755</v>
      </c>
      <c r="U70" s="61" t="s">
        <v>723</v>
      </c>
      <c r="W70" s="61" t="s">
        <v>4625</v>
      </c>
      <c r="X70" s="61" t="s">
        <v>4615</v>
      </c>
      <c r="Y70" s="61" t="s">
        <v>125</v>
      </c>
    </row>
    <row r="71" spans="1:25" x14ac:dyDescent="0.25">
      <c r="A71" s="187" t="s">
        <v>735</v>
      </c>
      <c r="B71" s="61" t="s">
        <v>90</v>
      </c>
      <c r="C71" s="61" t="s">
        <v>2601</v>
      </c>
      <c r="D71" s="199" t="s">
        <v>4667</v>
      </c>
      <c r="E71" s="199" t="s">
        <v>981</v>
      </c>
      <c r="F71" s="199" t="s">
        <v>4666</v>
      </c>
      <c r="G71" s="199" t="s">
        <v>72</v>
      </c>
      <c r="H71" s="199" t="s">
        <v>1200</v>
      </c>
      <c r="I71" s="199" t="s">
        <v>1274</v>
      </c>
      <c r="J71" s="199" t="s">
        <v>866</v>
      </c>
      <c r="K71" s="212">
        <v>184558.5</v>
      </c>
      <c r="L71" s="183">
        <f t="shared" si="2"/>
        <v>46139.5</v>
      </c>
      <c r="M71" s="213">
        <v>0</v>
      </c>
      <c r="N71" s="212">
        <v>230698</v>
      </c>
      <c r="O71" s="187" t="s">
        <v>1291</v>
      </c>
      <c r="P71" s="199" t="s">
        <v>1451</v>
      </c>
      <c r="Q71" s="15" t="s">
        <v>1611</v>
      </c>
      <c r="S71" s="214">
        <v>42411.716095219897</v>
      </c>
      <c r="T71" s="187" t="s">
        <v>1754</v>
      </c>
      <c r="U71" s="61" t="s">
        <v>723</v>
      </c>
      <c r="W71" s="61" t="s">
        <v>225</v>
      </c>
      <c r="X71" s="61" t="s">
        <v>4615</v>
      </c>
      <c r="Y71" s="61" t="s">
        <v>125</v>
      </c>
    </row>
    <row r="72" spans="1:25" x14ac:dyDescent="0.25">
      <c r="A72" s="187" t="s">
        <v>855</v>
      </c>
      <c r="B72" s="61" t="s">
        <v>18</v>
      </c>
      <c r="C72" s="61" t="s">
        <v>2601</v>
      </c>
      <c r="D72" s="199" t="s">
        <v>277</v>
      </c>
      <c r="E72" s="199" t="s">
        <v>4649</v>
      </c>
      <c r="F72" s="199" t="s">
        <v>4650</v>
      </c>
      <c r="G72" s="199" t="s">
        <v>1192</v>
      </c>
      <c r="H72" s="199" t="s">
        <v>1258</v>
      </c>
      <c r="I72" s="199" t="s">
        <v>1274</v>
      </c>
      <c r="J72" s="199" t="s">
        <v>866</v>
      </c>
      <c r="K72" s="212">
        <v>4346</v>
      </c>
      <c r="L72" s="183">
        <f t="shared" si="2"/>
        <v>1087</v>
      </c>
      <c r="M72" s="213">
        <v>0</v>
      </c>
      <c r="N72" s="212">
        <v>5433</v>
      </c>
      <c r="O72" s="187" t="s">
        <v>1433</v>
      </c>
      <c r="P72" s="199" t="s">
        <v>1593</v>
      </c>
      <c r="Q72" s="15" t="s">
        <v>1748</v>
      </c>
      <c r="S72" s="214">
        <v>42467.737588657401</v>
      </c>
      <c r="T72" s="187" t="s">
        <v>1755</v>
      </c>
      <c r="U72" s="61" t="s">
        <v>723</v>
      </c>
      <c r="W72" s="61" t="s">
        <v>4621</v>
      </c>
      <c r="X72" s="61" t="s">
        <v>4615</v>
      </c>
      <c r="Y72" s="61" t="s">
        <v>124</v>
      </c>
    </row>
    <row r="73" spans="1:25" x14ac:dyDescent="0.25">
      <c r="A73" s="187" t="s">
        <v>276</v>
      </c>
      <c r="B73" s="61" t="s">
        <v>90</v>
      </c>
      <c r="C73" s="61" t="s">
        <v>2601</v>
      </c>
      <c r="D73" s="199" t="s">
        <v>277</v>
      </c>
      <c r="E73" s="199" t="s">
        <v>278</v>
      </c>
      <c r="F73" s="199" t="s">
        <v>279</v>
      </c>
      <c r="G73" s="199" t="s">
        <v>72</v>
      </c>
      <c r="H73" s="199" t="s">
        <v>1263</v>
      </c>
      <c r="I73" s="199" t="s">
        <v>2284</v>
      </c>
      <c r="J73" s="199" t="s">
        <v>889</v>
      </c>
      <c r="K73" s="212">
        <v>983071</v>
      </c>
      <c r="L73" s="183">
        <f t="shared" si="2"/>
        <v>1883861</v>
      </c>
      <c r="M73" s="213">
        <v>0</v>
      </c>
      <c r="N73" s="212">
        <v>2866932</v>
      </c>
      <c r="O73" s="187" t="s">
        <v>1409</v>
      </c>
      <c r="P73" s="199" t="s">
        <v>1569</v>
      </c>
      <c r="Q73" s="15" t="s">
        <v>1726</v>
      </c>
      <c r="S73" s="214">
        <v>42411.441381863398</v>
      </c>
      <c r="T73" s="187" t="s">
        <v>1755</v>
      </c>
      <c r="U73" s="61" t="s">
        <v>723</v>
      </c>
      <c r="W73" s="61" t="s">
        <v>225</v>
      </c>
      <c r="X73" s="61" t="s">
        <v>4615</v>
      </c>
      <c r="Y73" s="61" t="s">
        <v>125</v>
      </c>
    </row>
    <row r="74" spans="1:25" x14ac:dyDescent="0.25">
      <c r="A74" s="187" t="s">
        <v>782</v>
      </c>
      <c r="B74" s="61" t="s">
        <v>90</v>
      </c>
      <c r="C74" s="61" t="s">
        <v>2601</v>
      </c>
      <c r="D74" s="199" t="s">
        <v>284</v>
      </c>
      <c r="E74" s="199" t="s">
        <v>1019</v>
      </c>
      <c r="F74" s="199" t="s">
        <v>1127</v>
      </c>
      <c r="G74" s="199" t="s">
        <v>72</v>
      </c>
      <c r="H74" s="199" t="s">
        <v>75</v>
      </c>
      <c r="I74" s="199" t="s">
        <v>2284</v>
      </c>
      <c r="J74" s="199" t="s">
        <v>892</v>
      </c>
      <c r="K74" s="212">
        <v>173531</v>
      </c>
      <c r="L74" s="183">
        <f t="shared" si="2"/>
        <v>260297</v>
      </c>
      <c r="M74" s="213">
        <v>0</v>
      </c>
      <c r="N74" s="212">
        <v>433828</v>
      </c>
      <c r="O74" s="187" t="s">
        <v>1342</v>
      </c>
      <c r="P74" s="199" t="s">
        <v>1502</v>
      </c>
      <c r="Q74" s="15" t="s">
        <v>1660</v>
      </c>
      <c r="S74" s="214">
        <v>42391.478817939802</v>
      </c>
      <c r="T74" s="187" t="s">
        <v>1755</v>
      </c>
      <c r="U74" s="61" t="s">
        <v>723</v>
      </c>
      <c r="W74" s="61" t="s">
        <v>4624</v>
      </c>
      <c r="X74" s="61" t="s">
        <v>4615</v>
      </c>
      <c r="Y74" s="61" t="s">
        <v>124</v>
      </c>
    </row>
    <row r="75" spans="1:25" x14ac:dyDescent="0.25">
      <c r="A75" s="187" t="s">
        <v>817</v>
      </c>
      <c r="B75" s="61" t="s">
        <v>90</v>
      </c>
      <c r="C75" s="61" t="s">
        <v>2601</v>
      </c>
      <c r="D75" s="199" t="s">
        <v>4639</v>
      </c>
      <c r="E75" s="199" t="s">
        <v>4640</v>
      </c>
      <c r="F75" s="199" t="s">
        <v>4641</v>
      </c>
      <c r="G75" s="199" t="s">
        <v>72</v>
      </c>
      <c r="H75" s="199" t="s">
        <v>1239</v>
      </c>
      <c r="I75" s="199" t="s">
        <v>1276</v>
      </c>
      <c r="J75" s="199" t="s">
        <v>871</v>
      </c>
      <c r="K75" s="212">
        <v>12458.76</v>
      </c>
      <c r="L75" s="183">
        <f t="shared" si="2"/>
        <v>1384.2399999999998</v>
      </c>
      <c r="M75" s="213">
        <v>0</v>
      </c>
      <c r="N75" s="212">
        <v>13843</v>
      </c>
      <c r="O75" s="187" t="s">
        <v>1386</v>
      </c>
      <c r="P75" s="199" t="s">
        <v>1546</v>
      </c>
      <c r="Q75" s="15" t="s">
        <v>1703</v>
      </c>
      <c r="S75" s="214">
        <v>42601.612121215301</v>
      </c>
      <c r="T75" s="187" t="s">
        <v>1755</v>
      </c>
      <c r="U75" s="61" t="s">
        <v>723</v>
      </c>
      <c r="W75" s="61" t="s">
        <v>4624</v>
      </c>
      <c r="X75" s="61" t="s">
        <v>4615</v>
      </c>
      <c r="Y75" s="61" t="s">
        <v>124</v>
      </c>
    </row>
    <row r="76" spans="1:25" x14ac:dyDescent="0.25">
      <c r="A76" s="187" t="s">
        <v>832</v>
      </c>
      <c r="B76" s="61" t="s">
        <v>18</v>
      </c>
      <c r="C76" s="61" t="s">
        <v>2601</v>
      </c>
      <c r="D76" s="199" t="s">
        <v>965</v>
      </c>
      <c r="E76" s="199" t="s">
        <v>975</v>
      </c>
      <c r="F76" s="199" t="s">
        <v>1171</v>
      </c>
      <c r="G76" s="199" t="s">
        <v>72</v>
      </c>
      <c r="H76" s="199" t="s">
        <v>1245</v>
      </c>
      <c r="I76" s="199" t="s">
        <v>1274</v>
      </c>
      <c r="J76" s="199" t="s">
        <v>875</v>
      </c>
      <c r="K76" s="212">
        <v>523.86</v>
      </c>
      <c r="L76" s="183">
        <f t="shared" si="2"/>
        <v>973.14</v>
      </c>
      <c r="M76" s="213">
        <v>0</v>
      </c>
      <c r="N76" s="212">
        <v>1497</v>
      </c>
      <c r="O76" s="187" t="s">
        <v>1405</v>
      </c>
      <c r="P76" s="199" t="s">
        <v>1565</v>
      </c>
      <c r="Q76" s="15" t="s">
        <v>1722</v>
      </c>
      <c r="S76" s="214">
        <v>42403.553867013899</v>
      </c>
      <c r="T76" s="187" t="s">
        <v>1754</v>
      </c>
      <c r="U76" s="61" t="s">
        <v>723</v>
      </c>
      <c r="W76" s="61" t="s">
        <v>225</v>
      </c>
      <c r="X76" s="61" t="s">
        <v>4615</v>
      </c>
      <c r="Y76" s="61" t="s">
        <v>125</v>
      </c>
    </row>
    <row r="77" spans="1:25" x14ac:dyDescent="0.25">
      <c r="A77" s="187" t="s">
        <v>736</v>
      </c>
      <c r="B77" s="61" t="s">
        <v>90</v>
      </c>
      <c r="C77" s="61" t="s">
        <v>2601</v>
      </c>
      <c r="D77" s="199" t="s">
        <v>918</v>
      </c>
      <c r="E77" s="199" t="s">
        <v>619</v>
      </c>
      <c r="F77" s="199" t="s">
        <v>1087</v>
      </c>
      <c r="G77" s="199" t="s">
        <v>72</v>
      </c>
      <c r="H77" s="199" t="s">
        <v>1201</v>
      </c>
      <c r="I77" s="199" t="s">
        <v>1276</v>
      </c>
      <c r="J77" s="199" t="s">
        <v>871</v>
      </c>
      <c r="K77" s="212">
        <v>61063.51</v>
      </c>
      <c r="L77" s="183">
        <f t="shared" si="2"/>
        <v>6784.489999999998</v>
      </c>
      <c r="M77" s="213">
        <v>0</v>
      </c>
      <c r="N77" s="212">
        <v>67848</v>
      </c>
      <c r="O77" s="187" t="s">
        <v>1292</v>
      </c>
      <c r="P77" s="199" t="s">
        <v>1452</v>
      </c>
      <c r="Q77" s="15" t="s">
        <v>1612</v>
      </c>
      <c r="S77" s="214">
        <v>42600.446618020796</v>
      </c>
      <c r="T77" s="187" t="s">
        <v>1755</v>
      </c>
      <c r="U77" s="61" t="s">
        <v>723</v>
      </c>
      <c r="W77" s="61" t="s">
        <v>4623</v>
      </c>
      <c r="X77" s="61" t="s">
        <v>4615</v>
      </c>
      <c r="Y77" s="61" t="s">
        <v>124</v>
      </c>
    </row>
    <row r="78" spans="1:25" x14ac:dyDescent="0.25">
      <c r="A78" s="187" t="s">
        <v>786</v>
      </c>
      <c r="B78" s="61" t="s">
        <v>18</v>
      </c>
      <c r="C78" s="61" t="s">
        <v>2601</v>
      </c>
      <c r="D78" s="199" t="s">
        <v>943</v>
      </c>
      <c r="E78" s="199" t="s">
        <v>1021</v>
      </c>
      <c r="F78" s="199" t="s">
        <v>1131</v>
      </c>
      <c r="G78" s="199" t="s">
        <v>72</v>
      </c>
      <c r="H78" s="199" t="s">
        <v>74</v>
      </c>
      <c r="I78" s="199" t="s">
        <v>1274</v>
      </c>
      <c r="J78" s="199" t="s">
        <v>877</v>
      </c>
      <c r="K78" s="212">
        <v>5369</v>
      </c>
      <c r="L78" s="183">
        <f t="shared" si="2"/>
        <v>1342</v>
      </c>
      <c r="M78" s="213">
        <v>0</v>
      </c>
      <c r="N78" s="212">
        <v>6711</v>
      </c>
      <c r="O78" s="187" t="s">
        <v>1346</v>
      </c>
      <c r="P78" s="199" t="s">
        <v>1506</v>
      </c>
      <c r="Q78" s="15" t="s">
        <v>1664</v>
      </c>
      <c r="S78" s="214">
        <v>42536.717293252303</v>
      </c>
      <c r="T78" s="187" t="s">
        <v>1755</v>
      </c>
      <c r="U78" s="61" t="s">
        <v>723</v>
      </c>
      <c r="W78" s="61" t="s">
        <v>225</v>
      </c>
      <c r="X78" s="61" t="s">
        <v>4615</v>
      </c>
      <c r="Y78" s="61" t="s">
        <v>125</v>
      </c>
    </row>
    <row r="79" spans="1:25" x14ac:dyDescent="0.25">
      <c r="A79" s="187" t="s">
        <v>829</v>
      </c>
      <c r="B79" s="61" t="s">
        <v>90</v>
      </c>
      <c r="C79" s="61" t="s">
        <v>2815</v>
      </c>
      <c r="D79" s="199" t="s">
        <v>961</v>
      </c>
      <c r="E79" s="199" t="s">
        <v>588</v>
      </c>
      <c r="F79" s="199" t="s">
        <v>1166</v>
      </c>
      <c r="G79" s="199" t="s">
        <v>72</v>
      </c>
      <c r="H79" s="199" t="s">
        <v>1247</v>
      </c>
      <c r="I79" s="199" t="s">
        <v>1277</v>
      </c>
      <c r="J79" s="199" t="s">
        <v>876</v>
      </c>
      <c r="K79" s="212">
        <v>98874.78</v>
      </c>
      <c r="L79" s="183">
        <f t="shared" si="2"/>
        <v>10986.220000000001</v>
      </c>
      <c r="M79" s="213">
        <v>0</v>
      </c>
      <c r="N79" s="212">
        <v>109861</v>
      </c>
      <c r="O79" s="187" t="s">
        <v>1399</v>
      </c>
      <c r="P79" s="199" t="s">
        <v>1559</v>
      </c>
      <c r="Q79" s="15" t="s">
        <v>1716</v>
      </c>
      <c r="S79" s="214">
        <v>42446.764001932897</v>
      </c>
      <c r="T79" s="187" t="s">
        <v>1754</v>
      </c>
      <c r="U79" s="61" t="s">
        <v>723</v>
      </c>
      <c r="W79" s="61" t="s">
        <v>4625</v>
      </c>
      <c r="X79" s="61" t="s">
        <v>4615</v>
      </c>
      <c r="Y79" s="61" t="s">
        <v>125</v>
      </c>
    </row>
    <row r="80" spans="1:25" x14ac:dyDescent="0.25">
      <c r="A80" s="187" t="s">
        <v>837</v>
      </c>
      <c r="B80" s="61" t="s">
        <v>90</v>
      </c>
      <c r="C80" s="61" t="s">
        <v>2815</v>
      </c>
      <c r="D80" s="199" t="s">
        <v>4648</v>
      </c>
      <c r="E80" s="199" t="s">
        <v>4010</v>
      </c>
      <c r="F80" s="199" t="s">
        <v>4647</v>
      </c>
      <c r="G80" s="199" t="s">
        <v>72</v>
      </c>
      <c r="H80" s="199" t="s">
        <v>1254</v>
      </c>
      <c r="I80" s="199" t="s">
        <v>1276</v>
      </c>
      <c r="J80" s="199" t="s">
        <v>871</v>
      </c>
      <c r="K80" s="212">
        <v>107732.14</v>
      </c>
      <c r="L80" s="183">
        <f t="shared" si="2"/>
        <v>11969.86</v>
      </c>
      <c r="M80" s="213">
        <v>0</v>
      </c>
      <c r="N80" s="212">
        <v>119702</v>
      </c>
      <c r="O80" s="187" t="s">
        <v>1411</v>
      </c>
      <c r="P80" s="199" t="s">
        <v>1571</v>
      </c>
      <c r="Q80" s="15" t="s">
        <v>1728</v>
      </c>
      <c r="S80" s="214">
        <v>42601.612336307902</v>
      </c>
      <c r="T80" s="187" t="s">
        <v>1755</v>
      </c>
      <c r="U80" s="61" t="s">
        <v>723</v>
      </c>
      <c r="W80" s="61" t="s">
        <v>624</v>
      </c>
      <c r="X80" s="61" t="s">
        <v>4619</v>
      </c>
      <c r="Y80" s="61" t="s">
        <v>124</v>
      </c>
    </row>
    <row r="81" spans="1:25" x14ac:dyDescent="0.25">
      <c r="A81" s="187" t="s">
        <v>822</v>
      </c>
      <c r="B81" s="61" t="s">
        <v>90</v>
      </c>
      <c r="C81" s="61" t="s">
        <v>2815</v>
      </c>
      <c r="D81" s="199" t="s">
        <v>959</v>
      </c>
      <c r="E81" s="199" t="s">
        <v>1050</v>
      </c>
      <c r="F81" s="199" t="s">
        <v>1161</v>
      </c>
      <c r="G81" s="199" t="s">
        <v>72</v>
      </c>
      <c r="H81" s="199" t="s">
        <v>1235</v>
      </c>
      <c r="I81" s="199" t="s">
        <v>1276</v>
      </c>
      <c r="J81" s="199" t="s">
        <v>898</v>
      </c>
      <c r="K81" s="212">
        <v>833.9</v>
      </c>
      <c r="L81" s="183">
        <f t="shared" si="2"/>
        <v>506.1</v>
      </c>
      <c r="M81" s="213">
        <v>0</v>
      </c>
      <c r="N81" s="212">
        <v>1340</v>
      </c>
      <c r="O81" s="187" t="s">
        <v>1391</v>
      </c>
      <c r="P81" s="199" t="s">
        <v>1551</v>
      </c>
      <c r="Q81" s="15" t="s">
        <v>1708</v>
      </c>
      <c r="S81" s="214">
        <v>42419.660724155103</v>
      </c>
      <c r="T81" s="187" t="s">
        <v>1754</v>
      </c>
      <c r="U81" s="61" t="s">
        <v>723</v>
      </c>
      <c r="W81" s="61" t="s">
        <v>4620</v>
      </c>
      <c r="X81" s="61" t="s">
        <v>4619</v>
      </c>
      <c r="Y81" s="61" t="s">
        <v>124</v>
      </c>
    </row>
    <row r="82" spans="1:25" x14ac:dyDescent="0.25">
      <c r="A82" s="187" t="s">
        <v>800</v>
      </c>
      <c r="B82" s="61" t="s">
        <v>90</v>
      </c>
      <c r="C82" s="61" t="s">
        <v>2815</v>
      </c>
      <c r="D82" s="199" t="s">
        <v>952</v>
      </c>
      <c r="E82" s="199" t="s">
        <v>483</v>
      </c>
      <c r="F82" s="199" t="s">
        <v>41</v>
      </c>
      <c r="G82" s="199" t="s">
        <v>72</v>
      </c>
      <c r="H82" s="199" t="s">
        <v>1239</v>
      </c>
      <c r="I82" s="199" t="s">
        <v>1276</v>
      </c>
      <c r="J82" s="199" t="s">
        <v>871</v>
      </c>
      <c r="K82" s="212">
        <v>16418.63</v>
      </c>
      <c r="L82" s="183">
        <f t="shared" si="2"/>
        <v>1824.369999999999</v>
      </c>
      <c r="M82" s="213">
        <v>0</v>
      </c>
      <c r="N82" s="212">
        <v>18243</v>
      </c>
      <c r="O82" s="187" t="s">
        <v>1364</v>
      </c>
      <c r="P82" s="199" t="s">
        <v>1524</v>
      </c>
      <c r="Q82" s="15" t="s">
        <v>1682</v>
      </c>
      <c r="S82" s="214">
        <v>42600.677985763898</v>
      </c>
      <c r="T82" s="187" t="s">
        <v>1755</v>
      </c>
      <c r="U82" s="61" t="s">
        <v>723</v>
      </c>
      <c r="W82" s="61" t="s">
        <v>4624</v>
      </c>
      <c r="X82" s="61" t="s">
        <v>4615</v>
      </c>
      <c r="Y82" s="61" t="s">
        <v>124</v>
      </c>
    </row>
    <row r="83" spans="1:25" x14ac:dyDescent="0.25">
      <c r="A83" s="187" t="s">
        <v>804</v>
      </c>
      <c r="B83" s="61" t="s">
        <v>18</v>
      </c>
      <c r="C83" s="61" t="s">
        <v>2815</v>
      </c>
      <c r="D83" s="199" t="s">
        <v>936</v>
      </c>
      <c r="E83" s="199" t="s">
        <v>1035</v>
      </c>
      <c r="F83" s="199" t="s">
        <v>1143</v>
      </c>
      <c r="G83" s="199" t="s">
        <v>72</v>
      </c>
      <c r="H83" s="199" t="s">
        <v>1241</v>
      </c>
      <c r="I83" s="199" t="s">
        <v>1274</v>
      </c>
      <c r="J83" s="199" t="s">
        <v>869</v>
      </c>
      <c r="K83" s="212">
        <v>5675.89</v>
      </c>
      <c r="L83" s="183">
        <f t="shared" si="2"/>
        <v>1419.1099999999997</v>
      </c>
      <c r="M83" s="213">
        <v>0</v>
      </c>
      <c r="N83" s="212">
        <v>7095</v>
      </c>
      <c r="O83" s="187" t="s">
        <v>1369</v>
      </c>
      <c r="P83" s="199" t="s">
        <v>1529</v>
      </c>
      <c r="Q83" s="15" t="s">
        <v>1687</v>
      </c>
      <c r="S83" s="214">
        <v>42507.731935451397</v>
      </c>
      <c r="T83" s="187" t="s">
        <v>1754</v>
      </c>
      <c r="U83" s="61" t="s">
        <v>723</v>
      </c>
      <c r="W83" s="61" t="s">
        <v>225</v>
      </c>
      <c r="X83" s="61" t="s">
        <v>4615</v>
      </c>
      <c r="Y83" s="61" t="s">
        <v>125</v>
      </c>
    </row>
    <row r="84" spans="1:25" x14ac:dyDescent="0.25">
      <c r="A84" s="187" t="s">
        <v>834</v>
      </c>
      <c r="B84" s="61" t="s">
        <v>18</v>
      </c>
      <c r="C84" s="61" t="s">
        <v>2815</v>
      </c>
      <c r="D84" s="199" t="s">
        <v>966</v>
      </c>
      <c r="E84" s="199" t="s">
        <v>1055</v>
      </c>
      <c r="F84" s="199" t="s">
        <v>1172</v>
      </c>
      <c r="G84" s="199" t="s">
        <v>72</v>
      </c>
      <c r="H84" s="199" t="s">
        <v>1262</v>
      </c>
      <c r="I84" s="199" t="s">
        <v>1274</v>
      </c>
      <c r="J84" s="199" t="s">
        <v>866</v>
      </c>
      <c r="K84" s="212">
        <v>121698.46</v>
      </c>
      <c r="L84" s="183">
        <f t="shared" si="2"/>
        <v>52156.539999999994</v>
      </c>
      <c r="M84" s="213">
        <v>0</v>
      </c>
      <c r="N84" s="212">
        <v>173855</v>
      </c>
      <c r="O84" s="187" t="s">
        <v>1407</v>
      </c>
      <c r="P84" s="199" t="s">
        <v>1567</v>
      </c>
      <c r="Q84" s="15" t="s">
        <v>1724</v>
      </c>
      <c r="S84" s="214">
        <v>42384.363597685202</v>
      </c>
      <c r="T84" s="187" t="s">
        <v>1754</v>
      </c>
      <c r="U84" s="61" t="s">
        <v>723</v>
      </c>
      <c r="W84" s="61" t="s">
        <v>225</v>
      </c>
      <c r="X84" s="61" t="s">
        <v>4615</v>
      </c>
      <c r="Y84" s="61" t="s">
        <v>125</v>
      </c>
    </row>
    <row r="85" spans="1:25" x14ac:dyDescent="0.25">
      <c r="A85" s="187" t="s">
        <v>749</v>
      </c>
      <c r="B85" s="61" t="s">
        <v>18</v>
      </c>
      <c r="C85" s="61" t="s">
        <v>2815</v>
      </c>
      <c r="D85" s="199" t="s">
        <v>930</v>
      </c>
      <c r="E85" s="199" t="s">
        <v>994</v>
      </c>
      <c r="F85" s="199" t="s">
        <v>1101</v>
      </c>
      <c r="G85" s="199" t="s">
        <v>72</v>
      </c>
      <c r="H85" s="199" t="s">
        <v>1211</v>
      </c>
      <c r="I85" s="199" t="s">
        <v>1275</v>
      </c>
      <c r="J85" s="199" t="s">
        <v>874</v>
      </c>
      <c r="K85" s="212">
        <v>643056</v>
      </c>
      <c r="L85" s="183">
        <f t="shared" si="2"/>
        <v>160764</v>
      </c>
      <c r="M85" s="213">
        <v>0</v>
      </c>
      <c r="N85" s="212">
        <v>803820</v>
      </c>
      <c r="O85" s="187" t="s">
        <v>1307</v>
      </c>
      <c r="P85" s="199" t="s">
        <v>1467</v>
      </c>
      <c r="Q85" s="15" t="s">
        <v>1627</v>
      </c>
      <c r="S85" s="214">
        <v>42633.648574999999</v>
      </c>
      <c r="T85" s="187" t="s">
        <v>1755</v>
      </c>
      <c r="U85" s="61" t="s">
        <v>723</v>
      </c>
      <c r="W85" s="61" t="s">
        <v>4624</v>
      </c>
      <c r="X85" s="61" t="s">
        <v>4615</v>
      </c>
      <c r="Y85" s="61" t="s">
        <v>124</v>
      </c>
    </row>
    <row r="86" spans="1:25" x14ac:dyDescent="0.25">
      <c r="A86" s="187" t="s">
        <v>749</v>
      </c>
      <c r="B86" s="61" t="s">
        <v>90</v>
      </c>
      <c r="C86" s="61" t="s">
        <v>2815</v>
      </c>
      <c r="D86" s="199" t="s">
        <v>930</v>
      </c>
      <c r="E86" s="199" t="s">
        <v>994</v>
      </c>
      <c r="F86" s="199" t="s">
        <v>1101</v>
      </c>
      <c r="G86" s="199" t="s">
        <v>72</v>
      </c>
      <c r="H86" s="199" t="s">
        <v>1211</v>
      </c>
      <c r="I86" s="61" t="s">
        <v>867</v>
      </c>
      <c r="J86" s="199" t="s">
        <v>883</v>
      </c>
      <c r="K86" s="212">
        <v>28237</v>
      </c>
      <c r="L86" s="183">
        <f t="shared" si="2"/>
        <v>7059</v>
      </c>
      <c r="M86" s="213">
        <v>0</v>
      </c>
      <c r="N86" s="212">
        <v>35296</v>
      </c>
      <c r="O86" s="187" t="s">
        <v>1307</v>
      </c>
      <c r="P86" s="199" t="s">
        <v>1467</v>
      </c>
      <c r="Q86" s="15" t="s">
        <v>1627</v>
      </c>
      <c r="S86" s="214">
        <v>42633.648574999999</v>
      </c>
      <c r="T86" s="187" t="s">
        <v>1755</v>
      </c>
      <c r="U86" s="61" t="s">
        <v>723</v>
      </c>
      <c r="W86" s="61" t="s">
        <v>4624</v>
      </c>
      <c r="X86" s="61" t="s">
        <v>4615</v>
      </c>
      <c r="Y86" s="61" t="s">
        <v>124</v>
      </c>
    </row>
    <row r="87" spans="1:25" x14ac:dyDescent="0.25">
      <c r="A87" s="187" t="s">
        <v>749</v>
      </c>
      <c r="B87" s="61" t="s">
        <v>90</v>
      </c>
      <c r="C87" s="61" t="s">
        <v>2815</v>
      </c>
      <c r="D87" s="199" t="s">
        <v>930</v>
      </c>
      <c r="E87" s="199" t="s">
        <v>4681</v>
      </c>
      <c r="F87" s="199" t="s">
        <v>1101</v>
      </c>
      <c r="G87" s="199" t="s">
        <v>72</v>
      </c>
      <c r="H87" s="199" t="s">
        <v>1211</v>
      </c>
      <c r="I87" s="199" t="s">
        <v>1274</v>
      </c>
      <c r="J87" s="199" t="s">
        <v>877</v>
      </c>
      <c r="K87" s="212">
        <v>55293</v>
      </c>
      <c r="L87" s="183">
        <f t="shared" si="2"/>
        <v>13823</v>
      </c>
      <c r="M87" s="213">
        <v>0</v>
      </c>
      <c r="N87" s="212">
        <v>69116</v>
      </c>
      <c r="O87" s="187" t="s">
        <v>1307</v>
      </c>
      <c r="P87" s="199" t="s">
        <v>1467</v>
      </c>
      <c r="Q87" s="15" t="s">
        <v>1627</v>
      </c>
      <c r="S87" s="214">
        <v>42509.611766898102</v>
      </c>
      <c r="T87" s="187" t="s">
        <v>1755</v>
      </c>
      <c r="U87" s="61" t="s">
        <v>723</v>
      </c>
      <c r="W87" s="61" t="s">
        <v>4624</v>
      </c>
      <c r="X87" s="61" t="s">
        <v>4615</v>
      </c>
      <c r="Y87" s="61" t="s">
        <v>124</v>
      </c>
    </row>
    <row r="88" spans="1:25" x14ac:dyDescent="0.25">
      <c r="A88" s="187" t="s">
        <v>778</v>
      </c>
      <c r="B88" s="61" t="s">
        <v>18</v>
      </c>
      <c r="C88" s="61" t="s">
        <v>2815</v>
      </c>
      <c r="D88" s="199" t="s">
        <v>433</v>
      </c>
      <c r="E88" s="199" t="s">
        <v>1015</v>
      </c>
      <c r="F88" s="199" t="s">
        <v>1124</v>
      </c>
      <c r="G88" s="199" t="s">
        <v>72</v>
      </c>
      <c r="H88" s="199" t="s">
        <v>74</v>
      </c>
      <c r="I88" s="199" t="s">
        <v>1274</v>
      </c>
      <c r="J88" s="199" t="s">
        <v>875</v>
      </c>
      <c r="K88" s="212">
        <v>7681.79</v>
      </c>
      <c r="L88" s="183">
        <f t="shared" si="2"/>
        <v>1920.21</v>
      </c>
      <c r="M88" s="213">
        <v>0</v>
      </c>
      <c r="N88" s="212">
        <v>9602</v>
      </c>
      <c r="O88" s="187" t="s">
        <v>1337</v>
      </c>
      <c r="P88" s="199" t="s">
        <v>1497</v>
      </c>
      <c r="Q88" s="15" t="s">
        <v>1625</v>
      </c>
      <c r="S88" s="214">
        <v>42501.571651539402</v>
      </c>
      <c r="T88" s="187" t="s">
        <v>1754</v>
      </c>
      <c r="U88" s="61" t="s">
        <v>723</v>
      </c>
      <c r="W88" s="61" t="s">
        <v>225</v>
      </c>
      <c r="X88" s="61" t="s">
        <v>4615</v>
      </c>
      <c r="Y88" s="61" t="s">
        <v>125</v>
      </c>
    </row>
    <row r="89" spans="1:25" x14ac:dyDescent="0.25">
      <c r="A89" s="187" t="s">
        <v>778</v>
      </c>
      <c r="B89" s="61" t="s">
        <v>18</v>
      </c>
      <c r="C89" s="61" t="s">
        <v>2815</v>
      </c>
      <c r="D89" s="199" t="s">
        <v>433</v>
      </c>
      <c r="E89" s="199" t="s">
        <v>1015</v>
      </c>
      <c r="F89" s="199" t="s">
        <v>1124</v>
      </c>
      <c r="G89" s="199" t="s">
        <v>72</v>
      </c>
      <c r="H89" s="199" t="s">
        <v>74</v>
      </c>
      <c r="I89" s="199" t="s">
        <v>1274</v>
      </c>
      <c r="J89" s="199" t="s">
        <v>875</v>
      </c>
      <c r="K89" s="212">
        <v>18388</v>
      </c>
      <c r="L89" s="183">
        <f t="shared" si="2"/>
        <v>4597</v>
      </c>
      <c r="M89" s="213">
        <v>0</v>
      </c>
      <c r="N89" s="212">
        <v>22985</v>
      </c>
      <c r="O89" s="187" t="s">
        <v>1337</v>
      </c>
      <c r="P89" s="199" t="s">
        <v>1497</v>
      </c>
      <c r="Q89" s="15" t="s">
        <v>1625</v>
      </c>
      <c r="S89" s="214">
        <v>42332.419574270803</v>
      </c>
      <c r="T89" s="187" t="s">
        <v>1755</v>
      </c>
      <c r="U89" s="61" t="s">
        <v>723</v>
      </c>
      <c r="W89" s="61" t="s">
        <v>225</v>
      </c>
      <c r="X89" s="61" t="s">
        <v>4615</v>
      </c>
      <c r="Y89" s="61" t="s">
        <v>125</v>
      </c>
    </row>
    <row r="90" spans="1:25" x14ac:dyDescent="0.25">
      <c r="A90" s="187" t="s">
        <v>812</v>
      </c>
      <c r="B90" s="61" t="s">
        <v>90</v>
      </c>
      <c r="C90" s="61" t="s">
        <v>2815</v>
      </c>
      <c r="D90" s="199" t="s">
        <v>957</v>
      </c>
      <c r="E90" s="199" t="s">
        <v>4670</v>
      </c>
      <c r="F90" s="199" t="s">
        <v>4671</v>
      </c>
      <c r="G90" s="199" t="s">
        <v>72</v>
      </c>
      <c r="H90" s="199" t="s">
        <v>1239</v>
      </c>
      <c r="I90" s="199" t="s">
        <v>1276</v>
      </c>
      <c r="J90" s="199" t="s">
        <v>871</v>
      </c>
      <c r="K90" s="212">
        <v>39002.620000000003</v>
      </c>
      <c r="L90" s="183">
        <f t="shared" si="2"/>
        <v>4333.3799999999974</v>
      </c>
      <c r="M90" s="213">
        <v>0</v>
      </c>
      <c r="N90" s="212">
        <v>43336</v>
      </c>
      <c r="O90" s="187" t="s">
        <v>1380</v>
      </c>
      <c r="P90" s="199" t="s">
        <v>1540</v>
      </c>
      <c r="Q90" s="15" t="s">
        <v>1697</v>
      </c>
      <c r="S90" s="214">
        <v>42600.677886192098</v>
      </c>
      <c r="T90" s="187" t="s">
        <v>1755</v>
      </c>
      <c r="U90" s="61" t="s">
        <v>723</v>
      </c>
      <c r="W90" s="61" t="s">
        <v>4624</v>
      </c>
      <c r="X90" s="61" t="s">
        <v>4615</v>
      </c>
      <c r="Y90" s="61" t="s">
        <v>124</v>
      </c>
    </row>
    <row r="91" spans="1:25" x14ac:dyDescent="0.25">
      <c r="A91" s="187" t="s">
        <v>760</v>
      </c>
      <c r="B91" s="61" t="s">
        <v>18</v>
      </c>
      <c r="C91" s="61" t="s">
        <v>2815</v>
      </c>
      <c r="D91" s="199" t="s">
        <v>935</v>
      </c>
      <c r="E91" s="199" t="s">
        <v>1002</v>
      </c>
      <c r="F91" s="199" t="s">
        <v>4672</v>
      </c>
      <c r="G91" s="199" t="s">
        <v>72</v>
      </c>
      <c r="H91" s="199" t="s">
        <v>74</v>
      </c>
      <c r="I91" s="199" t="s">
        <v>1274</v>
      </c>
      <c r="J91" s="199" t="s">
        <v>877</v>
      </c>
      <c r="K91" s="212">
        <v>92607</v>
      </c>
      <c r="L91" s="183">
        <f t="shared" si="2"/>
        <v>23152</v>
      </c>
      <c r="M91" s="213">
        <v>0</v>
      </c>
      <c r="N91" s="212">
        <v>115759</v>
      </c>
      <c r="O91" s="187" t="s">
        <v>1319</v>
      </c>
      <c r="P91" s="199" t="s">
        <v>1479</v>
      </c>
      <c r="Q91" s="15" t="s">
        <v>1639</v>
      </c>
      <c r="S91" s="214">
        <v>42313.5976948264</v>
      </c>
      <c r="T91" s="187" t="s">
        <v>1755</v>
      </c>
      <c r="U91" s="61" t="s">
        <v>723</v>
      </c>
      <c r="W91" s="61" t="s">
        <v>225</v>
      </c>
      <c r="X91" s="61" t="s">
        <v>4615</v>
      </c>
      <c r="Y91" s="61" t="s">
        <v>125</v>
      </c>
    </row>
    <row r="92" spans="1:25" x14ac:dyDescent="0.25">
      <c r="A92" s="187" t="s">
        <v>759</v>
      </c>
      <c r="B92" s="61" t="s">
        <v>18</v>
      </c>
      <c r="C92" s="61" t="s">
        <v>2815</v>
      </c>
      <c r="D92" s="199" t="s">
        <v>429</v>
      </c>
      <c r="E92" s="199" t="s">
        <v>1001</v>
      </c>
      <c r="F92" s="199" t="s">
        <v>1109</v>
      </c>
      <c r="G92" s="199" t="s">
        <v>72</v>
      </c>
      <c r="H92" s="199" t="s">
        <v>74</v>
      </c>
      <c r="I92" s="199" t="s">
        <v>1274</v>
      </c>
      <c r="J92" s="199" t="s">
        <v>877</v>
      </c>
      <c r="K92" s="212">
        <v>37760</v>
      </c>
      <c r="L92" s="183">
        <f t="shared" si="2"/>
        <v>9440</v>
      </c>
      <c r="M92" s="213">
        <v>0</v>
      </c>
      <c r="N92" s="212">
        <v>47200</v>
      </c>
      <c r="O92" s="187" t="s">
        <v>1318</v>
      </c>
      <c r="P92" s="199" t="s">
        <v>1478</v>
      </c>
      <c r="Q92" s="15" t="s">
        <v>1638</v>
      </c>
      <c r="S92" s="214">
        <v>42313.599144560198</v>
      </c>
      <c r="T92" s="187" t="s">
        <v>1755</v>
      </c>
      <c r="U92" s="61" t="s">
        <v>723</v>
      </c>
      <c r="W92" s="61" t="s">
        <v>225</v>
      </c>
      <c r="X92" s="61" t="s">
        <v>4615</v>
      </c>
      <c r="Y92" s="61" t="s">
        <v>125</v>
      </c>
    </row>
    <row r="93" spans="1:25" x14ac:dyDescent="0.25">
      <c r="A93" s="187" t="s">
        <v>759</v>
      </c>
      <c r="B93" s="61" t="s">
        <v>18</v>
      </c>
      <c r="C93" s="61" t="s">
        <v>2815</v>
      </c>
      <c r="D93" s="199" t="s">
        <v>429</v>
      </c>
      <c r="E93" s="199" t="s">
        <v>1001</v>
      </c>
      <c r="F93" s="199" t="s">
        <v>1109</v>
      </c>
      <c r="G93" s="199" t="s">
        <v>72</v>
      </c>
      <c r="H93" s="199" t="s">
        <v>74</v>
      </c>
      <c r="I93" s="199" t="s">
        <v>1274</v>
      </c>
      <c r="J93" s="199" t="s">
        <v>868</v>
      </c>
      <c r="K93" s="212">
        <v>453760</v>
      </c>
      <c r="L93" s="183">
        <f t="shared" si="2"/>
        <v>113440</v>
      </c>
      <c r="M93" s="213">
        <v>0</v>
      </c>
      <c r="N93" s="212">
        <v>567200</v>
      </c>
      <c r="O93" s="187" t="s">
        <v>1318</v>
      </c>
      <c r="P93" s="199" t="s">
        <v>1478</v>
      </c>
      <c r="Q93" s="15" t="s">
        <v>1638</v>
      </c>
      <c r="S93" s="214">
        <v>42467.735138194403</v>
      </c>
      <c r="T93" s="187" t="s">
        <v>1755</v>
      </c>
      <c r="U93" s="61" t="s">
        <v>723</v>
      </c>
      <c r="W93" s="61" t="s">
        <v>225</v>
      </c>
      <c r="X93" s="61" t="s">
        <v>4615</v>
      </c>
      <c r="Y93" s="61" t="s">
        <v>125</v>
      </c>
    </row>
    <row r="94" spans="1:25" x14ac:dyDescent="0.25">
      <c r="A94" s="187" t="s">
        <v>762</v>
      </c>
      <c r="B94" s="61" t="s">
        <v>18</v>
      </c>
      <c r="C94" s="61" t="s">
        <v>2815</v>
      </c>
      <c r="D94" s="199" t="s">
        <v>914</v>
      </c>
      <c r="E94" s="199" t="s">
        <v>1004</v>
      </c>
      <c r="F94" s="199" t="s">
        <v>1111</v>
      </c>
      <c r="G94" s="199" t="s">
        <v>72</v>
      </c>
      <c r="H94" s="199" t="s">
        <v>74</v>
      </c>
      <c r="I94" s="199" t="s">
        <v>1274</v>
      </c>
      <c r="J94" s="199" t="s">
        <v>877</v>
      </c>
      <c r="K94" s="212">
        <v>28172</v>
      </c>
      <c r="L94" s="183">
        <f t="shared" si="2"/>
        <v>7043</v>
      </c>
      <c r="M94" s="213">
        <v>0</v>
      </c>
      <c r="N94" s="212">
        <v>35215</v>
      </c>
      <c r="O94" s="187" t="s">
        <v>1321</v>
      </c>
      <c r="P94" s="199" t="s">
        <v>1481</v>
      </c>
      <c r="Q94" s="15" t="s">
        <v>1641</v>
      </c>
      <c r="S94" s="214">
        <v>42342.398037384301</v>
      </c>
      <c r="T94" s="187" t="s">
        <v>1755</v>
      </c>
      <c r="U94" s="61" t="s">
        <v>723</v>
      </c>
      <c r="W94" s="61" t="s">
        <v>225</v>
      </c>
      <c r="X94" s="61" t="s">
        <v>4615</v>
      </c>
      <c r="Y94" s="61" t="s">
        <v>125</v>
      </c>
    </row>
    <row r="95" spans="1:25" x14ac:dyDescent="0.25">
      <c r="A95" s="187" t="s">
        <v>768</v>
      </c>
      <c r="B95" s="61" t="s">
        <v>18</v>
      </c>
      <c r="C95" s="61" t="s">
        <v>2815</v>
      </c>
      <c r="D95" s="199" t="s">
        <v>936</v>
      </c>
      <c r="E95" s="199" t="s">
        <v>1007</v>
      </c>
      <c r="F95" s="199" t="s">
        <v>1084</v>
      </c>
      <c r="G95" s="199" t="s">
        <v>72</v>
      </c>
      <c r="H95" s="199" t="s">
        <v>1220</v>
      </c>
      <c r="I95" s="199" t="s">
        <v>1274</v>
      </c>
      <c r="J95" s="199" t="s">
        <v>875</v>
      </c>
      <c r="K95" s="212">
        <v>42942</v>
      </c>
      <c r="L95" s="183">
        <f t="shared" si="2"/>
        <v>10736</v>
      </c>
      <c r="M95" s="213">
        <v>0</v>
      </c>
      <c r="N95" s="212">
        <v>53678</v>
      </c>
      <c r="O95" s="187" t="s">
        <v>1327</v>
      </c>
      <c r="P95" s="199" t="s">
        <v>1487</v>
      </c>
      <c r="Q95" s="15" t="s">
        <v>1647</v>
      </c>
      <c r="S95" s="214">
        <v>42611.695456631896</v>
      </c>
      <c r="T95" s="187" t="s">
        <v>1755</v>
      </c>
      <c r="U95" s="61" t="s">
        <v>723</v>
      </c>
      <c r="W95" s="61" t="s">
        <v>4624</v>
      </c>
      <c r="X95" s="61" t="s">
        <v>4615</v>
      </c>
      <c r="Y95" s="61" t="s">
        <v>124</v>
      </c>
    </row>
    <row r="96" spans="1:25" x14ac:dyDescent="0.25">
      <c r="A96" s="187" t="s">
        <v>791</v>
      </c>
      <c r="B96" s="61" t="s">
        <v>18</v>
      </c>
      <c r="C96" s="61" t="s">
        <v>2815</v>
      </c>
      <c r="D96" s="199" t="s">
        <v>914</v>
      </c>
      <c r="E96" s="199" t="s">
        <v>1025</v>
      </c>
      <c r="F96" s="199" t="s">
        <v>1135</v>
      </c>
      <c r="G96" s="199" t="s">
        <v>72</v>
      </c>
      <c r="H96" s="199" t="s">
        <v>1229</v>
      </c>
      <c r="I96" s="199" t="s">
        <v>1274</v>
      </c>
      <c r="J96" s="199" t="s">
        <v>877</v>
      </c>
      <c r="K96" s="212">
        <v>122531</v>
      </c>
      <c r="L96" s="183">
        <f t="shared" si="2"/>
        <v>30633</v>
      </c>
      <c r="M96" s="213">
        <v>0</v>
      </c>
      <c r="N96" s="212">
        <v>153164</v>
      </c>
      <c r="O96" s="187" t="s">
        <v>1351</v>
      </c>
      <c r="P96" s="199" t="s">
        <v>1511</v>
      </c>
      <c r="Q96" s="15" t="s">
        <v>1669</v>
      </c>
      <c r="S96" s="214">
        <v>42313.611278321798</v>
      </c>
      <c r="T96" s="187" t="s">
        <v>1755</v>
      </c>
      <c r="U96" s="61" t="s">
        <v>723</v>
      </c>
      <c r="W96" s="61" t="s">
        <v>225</v>
      </c>
      <c r="X96" s="61" t="s">
        <v>4615</v>
      </c>
      <c r="Y96" s="61" t="s">
        <v>125</v>
      </c>
    </row>
    <row r="97" spans="1:25" x14ac:dyDescent="0.25">
      <c r="A97" s="187" t="s">
        <v>819</v>
      </c>
      <c r="B97" s="61" t="s">
        <v>18</v>
      </c>
      <c r="C97" s="61" t="s">
        <v>2815</v>
      </c>
      <c r="D97" s="199" t="s">
        <v>587</v>
      </c>
      <c r="E97" s="199" t="s">
        <v>1047</v>
      </c>
      <c r="F97" s="199" t="s">
        <v>1158</v>
      </c>
      <c r="G97" s="199" t="s">
        <v>72</v>
      </c>
      <c r="H97" s="199" t="s">
        <v>1244</v>
      </c>
      <c r="I97" s="199" t="s">
        <v>1274</v>
      </c>
      <c r="J97" s="199" t="s">
        <v>877</v>
      </c>
      <c r="K97" s="212">
        <v>602591</v>
      </c>
      <c r="L97" s="183">
        <f t="shared" si="2"/>
        <v>338957</v>
      </c>
      <c r="M97" s="213">
        <v>0</v>
      </c>
      <c r="N97" s="212">
        <v>941548</v>
      </c>
      <c r="O97" s="187" t="s">
        <v>1388</v>
      </c>
      <c r="P97" s="199" t="s">
        <v>1548</v>
      </c>
      <c r="Q97" s="15" t="s">
        <v>1705</v>
      </c>
      <c r="S97" s="214">
        <v>42549.628848344903</v>
      </c>
      <c r="T97" s="187" t="s">
        <v>1755</v>
      </c>
      <c r="U97" s="61" t="s">
        <v>723</v>
      </c>
      <c r="W97" s="61" t="s">
        <v>79</v>
      </c>
      <c r="X97" s="61" t="s">
        <v>4615</v>
      </c>
      <c r="Y97" s="61" t="s">
        <v>124</v>
      </c>
    </row>
    <row r="98" spans="1:25" x14ac:dyDescent="0.25">
      <c r="A98" s="187" t="s">
        <v>729</v>
      </c>
      <c r="B98" s="61" t="s">
        <v>90</v>
      </c>
      <c r="C98" s="61" t="s">
        <v>2815</v>
      </c>
      <c r="D98" s="199" t="s">
        <v>914</v>
      </c>
      <c r="E98" s="199" t="s">
        <v>977</v>
      </c>
      <c r="F98" s="199" t="s">
        <v>1081</v>
      </c>
      <c r="G98" s="199" t="s">
        <v>177</v>
      </c>
      <c r="H98" s="199" t="s">
        <v>178</v>
      </c>
      <c r="I98" s="199" t="s">
        <v>1275</v>
      </c>
      <c r="J98" s="199" t="s">
        <v>870</v>
      </c>
      <c r="K98" s="212">
        <v>3009.69</v>
      </c>
      <c r="L98" s="183">
        <f t="shared" ref="L98:L129" si="3">N98-K98</f>
        <v>0.30999999999994543</v>
      </c>
      <c r="M98" s="213">
        <v>0</v>
      </c>
      <c r="N98" s="212">
        <v>3010</v>
      </c>
      <c r="O98" s="187" t="s">
        <v>1284</v>
      </c>
      <c r="P98" s="199" t="s">
        <v>1444</v>
      </c>
      <c r="Q98" s="15" t="s">
        <v>1604</v>
      </c>
      <c r="S98" s="214">
        <v>42480.437405983801</v>
      </c>
      <c r="T98" s="187" t="s">
        <v>1754</v>
      </c>
      <c r="U98" s="61" t="s">
        <v>723</v>
      </c>
      <c r="W98" s="61" t="s">
        <v>4625</v>
      </c>
      <c r="X98" s="61" t="s">
        <v>4615</v>
      </c>
      <c r="Y98" s="61" t="s">
        <v>125</v>
      </c>
    </row>
    <row r="99" spans="1:25" x14ac:dyDescent="0.25">
      <c r="A99" s="187" t="s">
        <v>750</v>
      </c>
      <c r="B99" s="61" t="s">
        <v>90</v>
      </c>
      <c r="C99" s="61" t="s">
        <v>2613</v>
      </c>
      <c r="D99" s="199" t="s">
        <v>459</v>
      </c>
      <c r="E99" s="199" t="s">
        <v>995</v>
      </c>
      <c r="F99" s="199" t="s">
        <v>1102</v>
      </c>
      <c r="G99" s="199" t="s">
        <v>72</v>
      </c>
      <c r="H99" s="199" t="s">
        <v>1212</v>
      </c>
      <c r="I99" s="199" t="s">
        <v>2284</v>
      </c>
      <c r="J99" s="199" t="s">
        <v>884</v>
      </c>
      <c r="K99" s="212">
        <v>6494.76</v>
      </c>
      <c r="L99" s="183">
        <f t="shared" si="3"/>
        <v>5683.24</v>
      </c>
      <c r="M99" s="213">
        <v>0</v>
      </c>
      <c r="N99" s="212">
        <v>12178</v>
      </c>
      <c r="O99" s="187" t="s">
        <v>1308</v>
      </c>
      <c r="P99" s="199" t="s">
        <v>1468</v>
      </c>
      <c r="Q99" s="15" t="s">
        <v>1628</v>
      </c>
      <c r="S99" s="214">
        <v>42527.599142708299</v>
      </c>
      <c r="T99" s="187" t="s">
        <v>1754</v>
      </c>
      <c r="U99" s="61" t="s">
        <v>723</v>
      </c>
      <c r="W99" s="61" t="s">
        <v>4616</v>
      </c>
      <c r="X99" s="61" t="s">
        <v>4617</v>
      </c>
      <c r="Y99" s="61" t="s">
        <v>125</v>
      </c>
    </row>
    <row r="100" spans="1:25" x14ac:dyDescent="0.25">
      <c r="A100" s="187" t="s">
        <v>750</v>
      </c>
      <c r="B100" s="61" t="s">
        <v>90</v>
      </c>
      <c r="C100" s="61" t="s">
        <v>2613</v>
      </c>
      <c r="D100" s="199" t="s">
        <v>459</v>
      </c>
      <c r="E100" s="199" t="s">
        <v>995</v>
      </c>
      <c r="F100" s="199" t="s">
        <v>1102</v>
      </c>
      <c r="G100" s="199" t="s">
        <v>72</v>
      </c>
      <c r="H100" s="199" t="s">
        <v>1212</v>
      </c>
      <c r="I100" s="199" t="s">
        <v>2284</v>
      </c>
      <c r="J100" s="199" t="s">
        <v>884</v>
      </c>
      <c r="K100" s="212">
        <v>2278.71</v>
      </c>
      <c r="L100" s="183">
        <f t="shared" si="3"/>
        <v>1996.29</v>
      </c>
      <c r="M100" s="213">
        <v>0</v>
      </c>
      <c r="N100" s="212">
        <v>4275</v>
      </c>
      <c r="O100" s="187" t="s">
        <v>1308</v>
      </c>
      <c r="P100" s="199" t="s">
        <v>1468</v>
      </c>
      <c r="Q100" s="15" t="s">
        <v>1628</v>
      </c>
      <c r="S100" s="214">
        <v>42384.363241516199</v>
      </c>
      <c r="T100" s="187" t="s">
        <v>1754</v>
      </c>
      <c r="U100" s="61" t="s">
        <v>723</v>
      </c>
      <c r="W100" s="61" t="s">
        <v>4616</v>
      </c>
      <c r="X100" s="61" t="s">
        <v>4617</v>
      </c>
      <c r="Y100" s="61" t="s">
        <v>125</v>
      </c>
    </row>
    <row r="101" spans="1:25" x14ac:dyDescent="0.25">
      <c r="A101" s="187" t="s">
        <v>797</v>
      </c>
      <c r="B101" s="61" t="s">
        <v>18</v>
      </c>
      <c r="C101" s="61" t="s">
        <v>2613</v>
      </c>
      <c r="D101" s="199" t="s">
        <v>462</v>
      </c>
      <c r="E101" s="199" t="s">
        <v>1030</v>
      </c>
      <c r="F101" s="199" t="s">
        <v>1139</v>
      </c>
      <c r="G101" s="199" t="s">
        <v>72</v>
      </c>
      <c r="H101" s="199" t="s">
        <v>1236</v>
      </c>
      <c r="I101" s="199" t="s">
        <v>1274</v>
      </c>
      <c r="J101" s="199" t="s">
        <v>866</v>
      </c>
      <c r="K101" s="212">
        <v>32441.360000000001</v>
      </c>
      <c r="L101" s="183">
        <f t="shared" si="3"/>
        <v>39650.639999999999</v>
      </c>
      <c r="M101" s="213">
        <v>0</v>
      </c>
      <c r="N101" s="212">
        <v>72092</v>
      </c>
      <c r="O101" s="187" t="s">
        <v>1360</v>
      </c>
      <c r="P101" s="199" t="s">
        <v>1520</v>
      </c>
      <c r="Q101" s="15" t="s">
        <v>1678</v>
      </c>
      <c r="S101" s="214">
        <v>42562.573448182899</v>
      </c>
      <c r="T101" s="187" t="s">
        <v>1754</v>
      </c>
      <c r="U101" s="61" t="s">
        <v>723</v>
      </c>
      <c r="W101" s="61" t="s">
        <v>4616</v>
      </c>
      <c r="X101" s="61" t="s">
        <v>4617</v>
      </c>
      <c r="Y101" s="61" t="s">
        <v>124</v>
      </c>
    </row>
    <row r="102" spans="1:25" x14ac:dyDescent="0.25">
      <c r="A102" s="187" t="s">
        <v>751</v>
      </c>
      <c r="B102" s="61" t="s">
        <v>90</v>
      </c>
      <c r="C102" s="61" t="s">
        <v>2613</v>
      </c>
      <c r="D102" s="199" t="s">
        <v>931</v>
      </c>
      <c r="E102" s="199" t="s">
        <v>996</v>
      </c>
      <c r="F102" s="199" t="s">
        <v>1103</v>
      </c>
      <c r="G102" s="199" t="s">
        <v>72</v>
      </c>
      <c r="H102" s="199" t="s">
        <v>1213</v>
      </c>
      <c r="I102" s="199" t="s">
        <v>1277</v>
      </c>
      <c r="J102" s="199" t="s">
        <v>876</v>
      </c>
      <c r="K102" s="212">
        <v>67308.14</v>
      </c>
      <c r="L102" s="183">
        <f t="shared" si="3"/>
        <v>16826.86</v>
      </c>
      <c r="M102" s="213">
        <v>0</v>
      </c>
      <c r="N102" s="212">
        <v>84135</v>
      </c>
      <c r="O102" s="187" t="s">
        <v>1309</v>
      </c>
      <c r="P102" s="199" t="s">
        <v>1469</v>
      </c>
      <c r="Q102" s="15" t="s">
        <v>1629</v>
      </c>
      <c r="S102" s="214">
        <v>42348.483106944397</v>
      </c>
      <c r="T102" s="187" t="s">
        <v>1755</v>
      </c>
      <c r="U102" s="61" t="s">
        <v>723</v>
      </c>
      <c r="W102" s="61" t="s">
        <v>4625</v>
      </c>
      <c r="X102" s="61" t="s">
        <v>4615</v>
      </c>
      <c r="Y102" s="61" t="s">
        <v>125</v>
      </c>
    </row>
    <row r="103" spans="1:25" x14ac:dyDescent="0.25">
      <c r="A103" s="187" t="s">
        <v>862</v>
      </c>
      <c r="B103" s="61" t="s">
        <v>18</v>
      </c>
      <c r="C103" s="61" t="s">
        <v>2613</v>
      </c>
      <c r="D103" s="199" t="s">
        <v>967</v>
      </c>
      <c r="E103" s="199" t="s">
        <v>1059</v>
      </c>
      <c r="F103" s="199" t="s">
        <v>1175</v>
      </c>
      <c r="G103" s="199" t="s">
        <v>72</v>
      </c>
      <c r="H103" s="199" t="s">
        <v>1264</v>
      </c>
      <c r="I103" s="199" t="s">
        <v>1276</v>
      </c>
      <c r="J103" s="199" t="s">
        <v>898</v>
      </c>
      <c r="K103" s="212">
        <v>222.25</v>
      </c>
      <c r="L103" s="183">
        <f t="shared" si="3"/>
        <v>55.75</v>
      </c>
      <c r="M103" s="213">
        <v>0</v>
      </c>
      <c r="N103" s="212">
        <v>278</v>
      </c>
      <c r="O103" s="187" t="s">
        <v>1413</v>
      </c>
      <c r="P103" s="199" t="s">
        <v>1573</v>
      </c>
      <c r="Q103" s="15" t="s">
        <v>1730</v>
      </c>
      <c r="S103" s="214">
        <v>42305.749148842602</v>
      </c>
      <c r="T103" s="187" t="s">
        <v>1754</v>
      </c>
      <c r="U103" s="61" t="s">
        <v>723</v>
      </c>
      <c r="W103" s="61" t="s">
        <v>4624</v>
      </c>
      <c r="X103" s="61" t="s">
        <v>4615</v>
      </c>
      <c r="Y103" s="61" t="s">
        <v>124</v>
      </c>
    </row>
    <row r="104" spans="1:25" x14ac:dyDescent="0.25">
      <c r="A104" s="187" t="s">
        <v>845</v>
      </c>
      <c r="B104" s="61" t="s">
        <v>90</v>
      </c>
      <c r="C104" s="61" t="s">
        <v>2613</v>
      </c>
      <c r="D104" s="199" t="s">
        <v>3872</v>
      </c>
      <c r="E104" s="199" t="s">
        <v>1065</v>
      </c>
      <c r="F104" s="199" t="s">
        <v>4678</v>
      </c>
      <c r="G104" s="199" t="s">
        <v>193</v>
      </c>
      <c r="H104" s="199" t="s">
        <v>1269</v>
      </c>
      <c r="I104" s="61" t="s">
        <v>867</v>
      </c>
      <c r="J104" s="199" t="s">
        <v>910</v>
      </c>
      <c r="K104" s="212">
        <v>769.59</v>
      </c>
      <c r="L104" s="183">
        <f t="shared" si="3"/>
        <v>1154.4099999999999</v>
      </c>
      <c r="M104" s="213">
        <v>0</v>
      </c>
      <c r="N104" s="212">
        <v>1924</v>
      </c>
      <c r="O104" s="187" t="s">
        <v>1423</v>
      </c>
      <c r="P104" s="199" t="s">
        <v>1583</v>
      </c>
      <c r="Q104" s="15" t="s">
        <v>1738</v>
      </c>
      <c r="S104" s="214">
        <v>42480.437501539403</v>
      </c>
      <c r="T104" s="187" t="s">
        <v>1754</v>
      </c>
      <c r="U104" s="61" t="s">
        <v>723</v>
      </c>
      <c r="W104" s="61" t="s">
        <v>82</v>
      </c>
      <c r="X104" s="61" t="s">
        <v>4615</v>
      </c>
      <c r="Y104" s="61" t="s">
        <v>126</v>
      </c>
    </row>
    <row r="105" spans="1:25" x14ac:dyDescent="0.25">
      <c r="A105" s="187" t="s">
        <v>770</v>
      </c>
      <c r="B105" s="61" t="s">
        <v>90</v>
      </c>
      <c r="C105" s="61" t="s">
        <v>2613</v>
      </c>
      <c r="D105" s="199" t="s">
        <v>459</v>
      </c>
      <c r="E105" s="199" t="s">
        <v>1009</v>
      </c>
      <c r="F105" s="199" t="s">
        <v>1116</v>
      </c>
      <c r="G105" s="199" t="s">
        <v>72</v>
      </c>
      <c r="H105" s="199" t="s">
        <v>1221</v>
      </c>
      <c r="I105" s="199" t="s">
        <v>1275</v>
      </c>
      <c r="J105" s="199" t="s">
        <v>870</v>
      </c>
      <c r="K105" s="212">
        <v>1424.37</v>
      </c>
      <c r="L105" s="183">
        <f t="shared" si="3"/>
        <v>1246.6300000000001</v>
      </c>
      <c r="M105" s="213">
        <v>0</v>
      </c>
      <c r="N105" s="212">
        <v>2671</v>
      </c>
      <c r="O105" s="187" t="s">
        <v>1329</v>
      </c>
      <c r="P105" s="199" t="s">
        <v>1489</v>
      </c>
      <c r="Q105" s="15" t="s">
        <v>1649</v>
      </c>
      <c r="S105" s="214">
        <v>42384.3639265046</v>
      </c>
      <c r="T105" s="187" t="s">
        <v>1754</v>
      </c>
      <c r="U105" s="61" t="s">
        <v>723</v>
      </c>
      <c r="W105" s="61" t="s">
        <v>4625</v>
      </c>
      <c r="X105" s="61" t="s">
        <v>4615</v>
      </c>
      <c r="Y105" s="61" t="s">
        <v>125</v>
      </c>
    </row>
    <row r="106" spans="1:25" x14ac:dyDescent="0.25">
      <c r="A106" s="187" t="s">
        <v>828</v>
      </c>
      <c r="B106" s="61" t="s">
        <v>90</v>
      </c>
      <c r="C106" s="61" t="s">
        <v>2613</v>
      </c>
      <c r="D106" s="199" t="s">
        <v>944</v>
      </c>
      <c r="E106" s="199" t="s">
        <v>4637</v>
      </c>
      <c r="F106" s="199" t="s">
        <v>4638</v>
      </c>
      <c r="G106" s="199" t="s">
        <v>72</v>
      </c>
      <c r="H106" s="199" t="s">
        <v>1259</v>
      </c>
      <c r="I106" s="199" t="s">
        <v>1275</v>
      </c>
      <c r="J106" s="199" t="s">
        <v>874</v>
      </c>
      <c r="K106" s="212">
        <v>108052.06</v>
      </c>
      <c r="L106" s="183">
        <f t="shared" si="3"/>
        <v>27012.940000000002</v>
      </c>
      <c r="M106" s="213">
        <v>0</v>
      </c>
      <c r="N106" s="212">
        <v>135065</v>
      </c>
      <c r="O106" s="187" t="s">
        <v>1398</v>
      </c>
      <c r="P106" s="199" t="s">
        <v>1558</v>
      </c>
      <c r="Q106" s="15" t="s">
        <v>1715</v>
      </c>
      <c r="S106" s="214">
        <v>42600.446519594901</v>
      </c>
      <c r="T106" s="187" t="s">
        <v>1755</v>
      </c>
      <c r="U106" s="61" t="s">
        <v>723</v>
      </c>
      <c r="W106" s="61" t="s">
        <v>4625</v>
      </c>
      <c r="X106" s="61" t="s">
        <v>4615</v>
      </c>
      <c r="Y106" s="61" t="s">
        <v>125</v>
      </c>
    </row>
    <row r="107" spans="1:25" x14ac:dyDescent="0.25">
      <c r="A107" s="187" t="s">
        <v>811</v>
      </c>
      <c r="B107" s="61" t="s">
        <v>90</v>
      </c>
      <c r="C107" s="61" t="s">
        <v>2613</v>
      </c>
      <c r="D107" s="199" t="s">
        <v>956</v>
      </c>
      <c r="E107" s="199" t="s">
        <v>1041</v>
      </c>
      <c r="F107" s="199" t="s">
        <v>1152</v>
      </c>
      <c r="G107" s="199" t="s">
        <v>72</v>
      </c>
      <c r="H107" s="199" t="s">
        <v>1247</v>
      </c>
      <c r="I107" s="199" t="s">
        <v>1277</v>
      </c>
      <c r="J107" s="199" t="s">
        <v>900</v>
      </c>
      <c r="K107" s="212">
        <v>12007</v>
      </c>
      <c r="L107" s="183">
        <f t="shared" si="3"/>
        <v>8005</v>
      </c>
      <c r="M107" s="213">
        <v>0</v>
      </c>
      <c r="N107" s="212">
        <v>20012</v>
      </c>
      <c r="O107" s="187" t="s">
        <v>1378</v>
      </c>
      <c r="P107" s="199" t="s">
        <v>1538</v>
      </c>
      <c r="Q107" s="15" t="s">
        <v>1695</v>
      </c>
      <c r="S107" s="214">
        <v>42527.602537418999</v>
      </c>
      <c r="T107" s="187" t="s">
        <v>1755</v>
      </c>
      <c r="U107" s="61" t="s">
        <v>723</v>
      </c>
      <c r="W107" s="61" t="s">
        <v>4625</v>
      </c>
      <c r="X107" s="61" t="s">
        <v>4615</v>
      </c>
      <c r="Y107" s="61" t="s">
        <v>125</v>
      </c>
    </row>
    <row r="108" spans="1:25" x14ac:dyDescent="0.25">
      <c r="A108" s="187" t="s">
        <v>850</v>
      </c>
      <c r="B108" s="61" t="s">
        <v>18</v>
      </c>
      <c r="C108" s="61" t="s">
        <v>2613</v>
      </c>
      <c r="D108" s="199" t="s">
        <v>2902</v>
      </c>
      <c r="E108" s="199" t="s">
        <v>1069</v>
      </c>
      <c r="F108" s="199" t="s">
        <v>1183</v>
      </c>
      <c r="G108" s="199" t="s">
        <v>193</v>
      </c>
      <c r="H108" s="199" t="s">
        <v>1271</v>
      </c>
      <c r="I108" s="199" t="s">
        <v>4630</v>
      </c>
      <c r="J108" s="199" t="s">
        <v>888</v>
      </c>
      <c r="K108" s="212">
        <v>12514</v>
      </c>
      <c r="L108" s="183">
        <f t="shared" si="3"/>
        <v>3129</v>
      </c>
      <c r="M108" s="213">
        <v>0</v>
      </c>
      <c r="N108" s="212">
        <v>15643</v>
      </c>
      <c r="O108" s="187" t="s">
        <v>1428</v>
      </c>
      <c r="P108" s="199" t="s">
        <v>1588</v>
      </c>
      <c r="Q108" s="15" t="s">
        <v>1743</v>
      </c>
      <c r="S108" s="214">
        <v>42577.526900266203</v>
      </c>
      <c r="T108" s="187" t="s">
        <v>1755</v>
      </c>
      <c r="U108" s="61" t="s">
        <v>723</v>
      </c>
      <c r="W108" s="61" t="s">
        <v>4616</v>
      </c>
      <c r="X108" s="61" t="s">
        <v>4616</v>
      </c>
      <c r="Y108" s="61" t="s">
        <v>126</v>
      </c>
    </row>
    <row r="109" spans="1:25" x14ac:dyDescent="0.25">
      <c r="A109" s="187" t="s">
        <v>860</v>
      </c>
      <c r="B109" s="61" t="s">
        <v>90</v>
      </c>
      <c r="C109" s="61" t="s">
        <v>2613</v>
      </c>
      <c r="D109" s="199" t="s">
        <v>973</v>
      </c>
      <c r="E109" s="199" t="s">
        <v>1077</v>
      </c>
      <c r="F109" s="199" t="s">
        <v>1189</v>
      </c>
      <c r="G109" s="199" t="s">
        <v>73</v>
      </c>
      <c r="H109" s="199" t="s">
        <v>1247</v>
      </c>
      <c r="I109" s="199" t="s">
        <v>1277</v>
      </c>
      <c r="J109" s="199" t="s">
        <v>872</v>
      </c>
      <c r="K109" s="212">
        <v>33928</v>
      </c>
      <c r="L109" s="183">
        <f t="shared" si="3"/>
        <v>8482</v>
      </c>
      <c r="M109" s="213">
        <v>0</v>
      </c>
      <c r="N109" s="212">
        <v>42410</v>
      </c>
      <c r="O109" s="187" t="s">
        <v>1438</v>
      </c>
      <c r="P109" s="199" t="s">
        <v>1598</v>
      </c>
      <c r="Q109" s="15" t="s">
        <v>1753</v>
      </c>
      <c r="S109" s="214">
        <v>42471.473885532403</v>
      </c>
      <c r="T109" s="187" t="s">
        <v>1754</v>
      </c>
      <c r="U109" s="61" t="s">
        <v>723</v>
      </c>
      <c r="W109" s="61" t="s">
        <v>4625</v>
      </c>
      <c r="X109" s="61" t="s">
        <v>4615</v>
      </c>
      <c r="Y109" s="61" t="s">
        <v>124</v>
      </c>
    </row>
    <row r="110" spans="1:25" x14ac:dyDescent="0.25">
      <c r="A110" s="187" t="s">
        <v>864</v>
      </c>
      <c r="B110" s="61" t="s">
        <v>90</v>
      </c>
      <c r="C110" s="61" t="s">
        <v>2613</v>
      </c>
      <c r="D110" s="199" t="s">
        <v>962</v>
      </c>
      <c r="E110" s="199" t="s">
        <v>447</v>
      </c>
      <c r="F110" s="199" t="s">
        <v>1167</v>
      </c>
      <c r="G110" s="199" t="s">
        <v>72</v>
      </c>
      <c r="H110" s="199" t="s">
        <v>1260</v>
      </c>
      <c r="I110" s="199" t="s">
        <v>1275</v>
      </c>
      <c r="J110" s="199" t="s">
        <v>873</v>
      </c>
      <c r="K110" s="212">
        <v>115857</v>
      </c>
      <c r="L110" s="183">
        <f t="shared" si="3"/>
        <v>28964</v>
      </c>
      <c r="M110" s="213">
        <v>0</v>
      </c>
      <c r="N110" s="212">
        <v>144821</v>
      </c>
      <c r="O110" s="187" t="s">
        <v>1400</v>
      </c>
      <c r="P110" s="199" t="s">
        <v>1560</v>
      </c>
      <c r="Q110" s="15" t="s">
        <v>1717</v>
      </c>
      <c r="S110" s="214">
        <v>42355.671718669</v>
      </c>
      <c r="T110" s="187" t="s">
        <v>1755</v>
      </c>
      <c r="U110" s="61" t="s">
        <v>723</v>
      </c>
      <c r="W110" s="61" t="s">
        <v>4625</v>
      </c>
      <c r="X110" s="61" t="s">
        <v>4615</v>
      </c>
      <c r="Y110" s="61" t="s">
        <v>125</v>
      </c>
    </row>
    <row r="111" spans="1:25" x14ac:dyDescent="0.25">
      <c r="A111" s="187" t="s">
        <v>787</v>
      </c>
      <c r="B111" s="61" t="s">
        <v>90</v>
      </c>
      <c r="C111" s="61" t="s">
        <v>2613</v>
      </c>
      <c r="D111" s="199" t="s">
        <v>944</v>
      </c>
      <c r="E111" s="199" t="s">
        <v>1022</v>
      </c>
      <c r="F111" s="199" t="s">
        <v>1103</v>
      </c>
      <c r="G111" s="199" t="s">
        <v>72</v>
      </c>
      <c r="H111" s="199" t="s">
        <v>1222</v>
      </c>
      <c r="I111" s="199" t="s">
        <v>1277</v>
      </c>
      <c r="J111" s="199" t="s">
        <v>876</v>
      </c>
      <c r="K111" s="212">
        <v>14016.78</v>
      </c>
      <c r="L111" s="183">
        <f t="shared" si="3"/>
        <v>3504.2199999999993</v>
      </c>
      <c r="M111" s="213">
        <v>0</v>
      </c>
      <c r="N111" s="212">
        <v>17521</v>
      </c>
      <c r="O111" s="187" t="s">
        <v>1347</v>
      </c>
      <c r="P111" s="199" t="s">
        <v>1507</v>
      </c>
      <c r="Q111" s="15" t="s">
        <v>1665</v>
      </c>
      <c r="S111" s="214">
        <v>42349.629332256904</v>
      </c>
      <c r="T111" s="187" t="s">
        <v>1754</v>
      </c>
      <c r="U111" s="61" t="s">
        <v>723</v>
      </c>
      <c r="W111" s="61" t="s">
        <v>4625</v>
      </c>
      <c r="X111" s="61" t="s">
        <v>4615</v>
      </c>
      <c r="Y111" s="61" t="s">
        <v>125</v>
      </c>
    </row>
    <row r="112" spans="1:25" x14ac:dyDescent="0.25">
      <c r="A112" s="187" t="s">
        <v>835</v>
      </c>
      <c r="B112" s="61" t="s">
        <v>18</v>
      </c>
      <c r="C112" s="61" t="s">
        <v>2613</v>
      </c>
      <c r="D112" s="199" t="s">
        <v>967</v>
      </c>
      <c r="E112" s="199" t="s">
        <v>1056</v>
      </c>
      <c r="F112" s="199" t="s">
        <v>1173</v>
      </c>
      <c r="G112" s="199" t="s">
        <v>72</v>
      </c>
      <c r="H112" s="199" t="s">
        <v>1245</v>
      </c>
      <c r="I112" s="199" t="s">
        <v>1274</v>
      </c>
      <c r="J112" s="199" t="s">
        <v>875</v>
      </c>
      <c r="K112" s="212">
        <v>7138.11</v>
      </c>
      <c r="L112" s="183">
        <f t="shared" si="3"/>
        <v>7137.89</v>
      </c>
      <c r="M112" s="213">
        <v>0</v>
      </c>
      <c r="N112" s="212">
        <v>14276</v>
      </c>
      <c r="O112" s="187" t="s">
        <v>1408</v>
      </c>
      <c r="P112" s="199" t="s">
        <v>1568</v>
      </c>
      <c r="Q112" s="15" t="s">
        <v>1725</v>
      </c>
      <c r="S112" s="214">
        <v>42397.372805439802</v>
      </c>
      <c r="T112" s="187" t="s">
        <v>1754</v>
      </c>
      <c r="U112" s="61" t="s">
        <v>723</v>
      </c>
      <c r="W112" s="61" t="s">
        <v>225</v>
      </c>
      <c r="X112" s="61" t="s">
        <v>4615</v>
      </c>
      <c r="Y112" s="61" t="s">
        <v>125</v>
      </c>
    </row>
    <row r="113" spans="1:25" x14ac:dyDescent="0.25">
      <c r="A113" s="187" t="s">
        <v>852</v>
      </c>
      <c r="B113" s="61" t="s">
        <v>18</v>
      </c>
      <c r="C113" s="61" t="s">
        <v>2613</v>
      </c>
      <c r="D113" s="199" t="s">
        <v>462</v>
      </c>
      <c r="E113" s="199" t="s">
        <v>1071</v>
      </c>
      <c r="F113" s="199" t="s">
        <v>1184</v>
      </c>
      <c r="G113" s="199" t="s">
        <v>193</v>
      </c>
      <c r="H113" s="199" t="s">
        <v>1247</v>
      </c>
      <c r="I113" s="199" t="s">
        <v>1274</v>
      </c>
      <c r="J113" s="199" t="s">
        <v>877</v>
      </c>
      <c r="K113" s="212">
        <v>14029</v>
      </c>
      <c r="L113" s="183">
        <f t="shared" si="3"/>
        <v>3507</v>
      </c>
      <c r="M113" s="213">
        <v>0</v>
      </c>
      <c r="N113" s="212">
        <v>17536</v>
      </c>
      <c r="O113" s="187" t="s">
        <v>1430</v>
      </c>
      <c r="P113" s="199" t="s">
        <v>1590</v>
      </c>
      <c r="Q113" s="15" t="s">
        <v>1745</v>
      </c>
      <c r="S113" s="214">
        <v>42332.728933136597</v>
      </c>
      <c r="T113" s="187" t="s">
        <v>1755</v>
      </c>
      <c r="U113" s="61" t="s">
        <v>723</v>
      </c>
      <c r="W113" s="61" t="s">
        <v>4625</v>
      </c>
      <c r="X113" s="61" t="s">
        <v>4615</v>
      </c>
      <c r="Y113" s="61" t="s">
        <v>124</v>
      </c>
    </row>
    <row r="114" spans="1:25" x14ac:dyDescent="0.25">
      <c r="A114" s="187" t="s">
        <v>863</v>
      </c>
      <c r="B114" s="61" t="s">
        <v>90</v>
      </c>
      <c r="C114" s="61" t="s">
        <v>2613</v>
      </c>
      <c r="D114" s="199" t="s">
        <v>963</v>
      </c>
      <c r="E114" s="199" t="s">
        <v>1023</v>
      </c>
      <c r="F114" s="199" t="s">
        <v>1168</v>
      </c>
      <c r="G114" s="199" t="s">
        <v>72</v>
      </c>
      <c r="H114" s="199" t="s">
        <v>1261</v>
      </c>
      <c r="I114" s="199" t="s">
        <v>2284</v>
      </c>
      <c r="J114" s="199" t="s">
        <v>892</v>
      </c>
      <c r="K114" s="212">
        <v>203043</v>
      </c>
      <c r="L114" s="183">
        <f t="shared" si="3"/>
        <v>304565</v>
      </c>
      <c r="M114" s="213">
        <v>0</v>
      </c>
      <c r="N114" s="212">
        <v>507608</v>
      </c>
      <c r="O114" s="187" t="s">
        <v>1401</v>
      </c>
      <c r="P114" s="199" t="s">
        <v>1561</v>
      </c>
      <c r="Q114" s="15" t="s">
        <v>1718</v>
      </c>
      <c r="S114" s="214">
        <v>42395.626198032398</v>
      </c>
      <c r="T114" s="187" t="s">
        <v>1755</v>
      </c>
      <c r="U114" s="61" t="s">
        <v>723</v>
      </c>
      <c r="W114" s="61" t="s">
        <v>4624</v>
      </c>
      <c r="X114" s="61" t="s">
        <v>4615</v>
      </c>
      <c r="Y114" s="61" t="s">
        <v>124</v>
      </c>
    </row>
    <row r="115" spans="1:25" x14ac:dyDescent="0.25">
      <c r="A115" s="187" t="s">
        <v>833</v>
      </c>
      <c r="B115" s="61" t="s">
        <v>90</v>
      </c>
      <c r="C115" s="61" t="s">
        <v>2613</v>
      </c>
      <c r="D115" s="199" t="s">
        <v>944</v>
      </c>
      <c r="E115" s="199" t="s">
        <v>1054</v>
      </c>
      <c r="F115" s="199" t="s">
        <v>41</v>
      </c>
      <c r="G115" s="199" t="s">
        <v>72</v>
      </c>
      <c r="H115" s="199" t="s">
        <v>1254</v>
      </c>
      <c r="I115" s="199" t="s">
        <v>1276</v>
      </c>
      <c r="J115" s="199" t="s">
        <v>898</v>
      </c>
      <c r="K115" s="212">
        <v>4625</v>
      </c>
      <c r="L115" s="183">
        <f t="shared" si="3"/>
        <v>514</v>
      </c>
      <c r="M115" s="213">
        <v>0</v>
      </c>
      <c r="N115" s="212">
        <v>5139</v>
      </c>
      <c r="O115" s="187" t="s">
        <v>1406</v>
      </c>
      <c r="P115" s="199" t="s">
        <v>1566</v>
      </c>
      <c r="Q115" s="15" t="s">
        <v>1723</v>
      </c>
      <c r="S115" s="214">
        <v>42551.3825460648</v>
      </c>
      <c r="T115" s="187" t="s">
        <v>1755</v>
      </c>
      <c r="U115" s="61" t="s">
        <v>723</v>
      </c>
      <c r="W115" s="61" t="s">
        <v>4620</v>
      </c>
      <c r="X115" s="61" t="s">
        <v>4619</v>
      </c>
      <c r="Y115" s="61" t="s">
        <v>124</v>
      </c>
    </row>
    <row r="116" spans="1:25" x14ac:dyDescent="0.25">
      <c r="A116" s="187" t="s">
        <v>818</v>
      </c>
      <c r="B116" s="61" t="s">
        <v>90</v>
      </c>
      <c r="C116" s="61" t="s">
        <v>2613</v>
      </c>
      <c r="D116" s="199" t="s">
        <v>446</v>
      </c>
      <c r="E116" s="199" t="s">
        <v>1046</v>
      </c>
      <c r="F116" s="199" t="s">
        <v>1157</v>
      </c>
      <c r="G116" s="199" t="s">
        <v>72</v>
      </c>
      <c r="H116" s="199" t="s">
        <v>1239</v>
      </c>
      <c r="I116" s="199" t="s">
        <v>1276</v>
      </c>
      <c r="J116" s="199" t="s">
        <v>871</v>
      </c>
      <c r="K116" s="212">
        <v>28257.77</v>
      </c>
      <c r="L116" s="183">
        <f t="shared" si="3"/>
        <v>3140.2299999999996</v>
      </c>
      <c r="M116" s="213">
        <v>0</v>
      </c>
      <c r="N116" s="212">
        <v>31398</v>
      </c>
      <c r="O116" s="187" t="s">
        <v>1387</v>
      </c>
      <c r="P116" s="199" t="s">
        <v>1547</v>
      </c>
      <c r="Q116" s="15" t="s">
        <v>1704</v>
      </c>
      <c r="S116" s="214">
        <v>42600.678092326401</v>
      </c>
      <c r="T116" s="187" t="s">
        <v>1755</v>
      </c>
      <c r="U116" s="61" t="s">
        <v>723</v>
      </c>
      <c r="W116" s="61" t="s">
        <v>4623</v>
      </c>
      <c r="X116" s="61" t="s">
        <v>4615</v>
      </c>
      <c r="Y116" s="61" t="s">
        <v>124</v>
      </c>
    </row>
    <row r="117" spans="1:25" x14ac:dyDescent="0.25">
      <c r="A117" s="187" t="s">
        <v>843</v>
      </c>
      <c r="B117" s="61" t="s">
        <v>18</v>
      </c>
      <c r="C117" s="61" t="s">
        <v>2613</v>
      </c>
      <c r="D117" s="199" t="s">
        <v>973</v>
      </c>
      <c r="E117" s="199" t="s">
        <v>1064</v>
      </c>
      <c r="F117" s="199" t="s">
        <v>1180</v>
      </c>
      <c r="G117" s="199" t="s">
        <v>193</v>
      </c>
      <c r="H117" s="199" t="s">
        <v>1247</v>
      </c>
      <c r="I117" s="199" t="s">
        <v>1274</v>
      </c>
      <c r="J117" s="199" t="s">
        <v>868</v>
      </c>
      <c r="K117" s="212">
        <v>19989</v>
      </c>
      <c r="L117" s="183">
        <f t="shared" si="3"/>
        <v>29984</v>
      </c>
      <c r="M117" s="213">
        <v>0</v>
      </c>
      <c r="N117" s="212">
        <v>49973</v>
      </c>
      <c r="O117" s="187" t="s">
        <v>1420</v>
      </c>
      <c r="P117" s="199" t="s">
        <v>1580</v>
      </c>
      <c r="Q117" s="15" t="s">
        <v>1736</v>
      </c>
      <c r="S117" s="214">
        <v>42417.408095567102</v>
      </c>
      <c r="T117" s="187" t="s">
        <v>1755</v>
      </c>
      <c r="U117" s="61" t="s">
        <v>723</v>
      </c>
      <c r="W117" s="61" t="s">
        <v>4625</v>
      </c>
      <c r="X117" s="61" t="s">
        <v>4615</v>
      </c>
      <c r="Y117" s="61" t="s">
        <v>124</v>
      </c>
    </row>
    <row r="118" spans="1:25" x14ac:dyDescent="0.25">
      <c r="A118" s="187" t="s">
        <v>744</v>
      </c>
      <c r="B118" s="61" t="s">
        <v>90</v>
      </c>
      <c r="C118" s="61" t="s">
        <v>2613</v>
      </c>
      <c r="D118" s="199" t="s">
        <v>926</v>
      </c>
      <c r="E118" s="199" t="s">
        <v>4669</v>
      </c>
      <c r="F118" s="199" t="s">
        <v>1096</v>
      </c>
      <c r="G118" s="199" t="s">
        <v>72</v>
      </c>
      <c r="H118" s="199" t="s">
        <v>75</v>
      </c>
      <c r="I118" s="199" t="s">
        <v>1276</v>
      </c>
      <c r="J118" s="199" t="s">
        <v>871</v>
      </c>
      <c r="K118" s="212">
        <v>213879.36</v>
      </c>
      <c r="L118" s="183">
        <f t="shared" si="3"/>
        <v>102978.64000000001</v>
      </c>
      <c r="M118" s="213">
        <v>0</v>
      </c>
      <c r="N118" s="212">
        <v>316858</v>
      </c>
      <c r="O118" s="187" t="s">
        <v>1301</v>
      </c>
      <c r="P118" s="199" t="s">
        <v>1461</v>
      </c>
      <c r="Q118" s="15" t="s">
        <v>1621</v>
      </c>
      <c r="S118" s="214">
        <v>42599.724450810201</v>
      </c>
      <c r="T118" s="187" t="s">
        <v>1755</v>
      </c>
      <c r="U118" s="61" t="s">
        <v>723</v>
      </c>
      <c r="W118" s="61" t="s">
        <v>4623</v>
      </c>
      <c r="X118" s="61" t="s">
        <v>4615</v>
      </c>
      <c r="Y118" s="61" t="s">
        <v>124</v>
      </c>
    </row>
    <row r="119" spans="1:25" x14ac:dyDescent="0.25">
      <c r="A119" s="187" t="s">
        <v>802</v>
      </c>
      <c r="B119" s="61" t="s">
        <v>90</v>
      </c>
      <c r="C119" s="61" t="s">
        <v>2613</v>
      </c>
      <c r="D119" s="199" t="s">
        <v>953</v>
      </c>
      <c r="E119" s="199" t="s">
        <v>1033</v>
      </c>
      <c r="F119" s="199" t="s">
        <v>1141</v>
      </c>
      <c r="G119" s="199" t="s">
        <v>72</v>
      </c>
      <c r="H119" s="199" t="s">
        <v>1239</v>
      </c>
      <c r="I119" s="199" t="s">
        <v>1274</v>
      </c>
      <c r="J119" s="199" t="s">
        <v>866</v>
      </c>
      <c r="K119" s="212">
        <v>8704.9500000000007</v>
      </c>
      <c r="L119" s="183">
        <f t="shared" si="3"/>
        <v>8113.0499999999993</v>
      </c>
      <c r="M119" s="213">
        <v>0</v>
      </c>
      <c r="N119" s="212">
        <v>16818</v>
      </c>
      <c r="O119" s="187" t="s">
        <v>1366</v>
      </c>
      <c r="P119" s="199" t="s">
        <v>1526</v>
      </c>
      <c r="Q119" s="15" t="s">
        <v>1684</v>
      </c>
      <c r="S119" s="214">
        <v>42439.664177048602</v>
      </c>
      <c r="T119" s="187" t="s">
        <v>1754</v>
      </c>
      <c r="U119" s="61" t="s">
        <v>723</v>
      </c>
      <c r="W119" s="61" t="s">
        <v>82</v>
      </c>
      <c r="X119" s="61" t="s">
        <v>4615</v>
      </c>
      <c r="Y119" s="61" t="s">
        <v>126</v>
      </c>
    </row>
    <row r="120" spans="1:25" x14ac:dyDescent="0.25">
      <c r="A120" s="187" t="s">
        <v>806</v>
      </c>
      <c r="B120" s="61" t="s">
        <v>18</v>
      </c>
      <c r="C120" s="61" t="s">
        <v>150</v>
      </c>
      <c r="D120" s="199" t="s">
        <v>4664</v>
      </c>
      <c r="E120" s="199" t="s">
        <v>1037</v>
      </c>
      <c r="F120" s="199" t="s">
        <v>1146</v>
      </c>
      <c r="G120" s="199" t="s">
        <v>72</v>
      </c>
      <c r="H120" s="199" t="s">
        <v>1244</v>
      </c>
      <c r="I120" s="199" t="s">
        <v>1274</v>
      </c>
      <c r="J120" s="199" t="s">
        <v>866</v>
      </c>
      <c r="K120" s="212">
        <v>91797.7</v>
      </c>
      <c r="L120" s="183">
        <f t="shared" si="3"/>
        <v>30599.300000000003</v>
      </c>
      <c r="M120" s="213">
        <v>0</v>
      </c>
      <c r="N120" s="212">
        <v>122397</v>
      </c>
      <c r="O120" s="187" t="s">
        <v>1372</v>
      </c>
      <c r="P120" s="199" t="s">
        <v>1532</v>
      </c>
      <c r="Q120" s="15" t="s">
        <v>1690</v>
      </c>
      <c r="S120" s="214">
        <v>42551.383284919</v>
      </c>
      <c r="T120" s="187" t="s">
        <v>1755</v>
      </c>
      <c r="U120" s="61" t="s">
        <v>723</v>
      </c>
      <c r="W120" s="61" t="s">
        <v>79</v>
      </c>
      <c r="X120" s="61" t="s">
        <v>4615</v>
      </c>
      <c r="Y120" s="61" t="s">
        <v>124</v>
      </c>
    </row>
    <row r="121" spans="1:25" x14ac:dyDescent="0.25">
      <c r="A121" s="187" t="s">
        <v>836</v>
      </c>
      <c r="B121" s="61" t="s">
        <v>90</v>
      </c>
      <c r="C121" s="61" t="s">
        <v>150</v>
      </c>
      <c r="D121" s="199" t="s">
        <v>928</v>
      </c>
      <c r="E121" s="199" t="s">
        <v>1057</v>
      </c>
      <c r="F121" s="199" t="s">
        <v>1174</v>
      </c>
      <c r="G121" s="199" t="s">
        <v>72</v>
      </c>
      <c r="H121" s="199" t="s">
        <v>1247</v>
      </c>
      <c r="I121" s="199" t="s">
        <v>1274</v>
      </c>
      <c r="J121" s="199" t="s">
        <v>866</v>
      </c>
      <c r="K121" s="212">
        <v>3743.68</v>
      </c>
      <c r="L121" s="183">
        <f t="shared" si="3"/>
        <v>4055.32</v>
      </c>
      <c r="M121" s="213">
        <v>0</v>
      </c>
      <c r="N121" s="212">
        <v>7799</v>
      </c>
      <c r="O121" s="187" t="s">
        <v>1410</v>
      </c>
      <c r="P121" s="199" t="s">
        <v>1570</v>
      </c>
      <c r="Q121" s="15" t="s">
        <v>1727</v>
      </c>
      <c r="S121" s="214">
        <v>42548.512847303202</v>
      </c>
      <c r="T121" s="187" t="s">
        <v>1754</v>
      </c>
      <c r="U121" s="61" t="s">
        <v>723</v>
      </c>
      <c r="W121" s="61" t="s">
        <v>4625</v>
      </c>
      <c r="X121" s="61" t="s">
        <v>4615</v>
      </c>
      <c r="Y121" s="61" t="s">
        <v>125</v>
      </c>
    </row>
    <row r="122" spans="1:25" x14ac:dyDescent="0.25">
      <c r="A122" s="187" t="s">
        <v>841</v>
      </c>
      <c r="B122" s="61" t="s">
        <v>18</v>
      </c>
      <c r="C122" s="61" t="s">
        <v>150</v>
      </c>
      <c r="D122" s="199" t="s">
        <v>970</v>
      </c>
      <c r="E122" s="199" t="s">
        <v>151</v>
      </c>
      <c r="F122" s="199" t="s">
        <v>1178</v>
      </c>
      <c r="G122" s="199" t="s">
        <v>72</v>
      </c>
      <c r="H122" s="199" t="s">
        <v>1268</v>
      </c>
      <c r="I122" s="199" t="s">
        <v>1274</v>
      </c>
      <c r="J122" s="199" t="s">
        <v>875</v>
      </c>
      <c r="K122" s="212">
        <v>1000000</v>
      </c>
      <c r="L122" s="183">
        <f t="shared" si="3"/>
        <v>250000</v>
      </c>
      <c r="M122" s="213">
        <v>0</v>
      </c>
      <c r="N122" s="212">
        <v>1250000</v>
      </c>
      <c r="O122" s="187" t="s">
        <v>1417</v>
      </c>
      <c r="P122" s="199" t="s">
        <v>1577</v>
      </c>
      <c r="Q122" s="15" t="s">
        <v>1734</v>
      </c>
      <c r="S122" s="214">
        <v>42621.479727118101</v>
      </c>
      <c r="T122" s="187" t="s">
        <v>1755</v>
      </c>
      <c r="U122" s="61" t="s">
        <v>723</v>
      </c>
      <c r="W122" s="61" t="s">
        <v>79</v>
      </c>
      <c r="X122" s="61" t="s">
        <v>4615</v>
      </c>
      <c r="Y122" s="61" t="s">
        <v>124</v>
      </c>
    </row>
    <row r="123" spans="1:25" x14ac:dyDescent="0.25">
      <c r="A123" s="187" t="s">
        <v>772</v>
      </c>
      <c r="B123" s="61" t="s">
        <v>90</v>
      </c>
      <c r="C123" s="61" t="s">
        <v>150</v>
      </c>
      <c r="D123" s="199" t="s">
        <v>939</v>
      </c>
      <c r="E123" s="199" t="s">
        <v>1010</v>
      </c>
      <c r="F123" s="199" t="s">
        <v>1118</v>
      </c>
      <c r="G123" s="199" t="s">
        <v>72</v>
      </c>
      <c r="H123" s="199" t="s">
        <v>1222</v>
      </c>
      <c r="I123" s="199" t="s">
        <v>1277</v>
      </c>
      <c r="J123" s="199" t="s">
        <v>872</v>
      </c>
      <c r="K123" s="212">
        <v>564.53</v>
      </c>
      <c r="L123" s="183">
        <f t="shared" si="3"/>
        <v>317.47000000000003</v>
      </c>
      <c r="M123" s="213">
        <v>0</v>
      </c>
      <c r="N123" s="212">
        <v>882</v>
      </c>
      <c r="O123" s="187" t="s">
        <v>1331</v>
      </c>
      <c r="P123" s="199" t="s">
        <v>1491</v>
      </c>
      <c r="Q123" s="15" t="s">
        <v>1651</v>
      </c>
      <c r="S123" s="214">
        <v>42383.429138391199</v>
      </c>
      <c r="T123" s="187" t="s">
        <v>1754</v>
      </c>
      <c r="U123" s="61" t="s">
        <v>723</v>
      </c>
      <c r="W123" s="61" t="s">
        <v>4625</v>
      </c>
      <c r="X123" s="61" t="s">
        <v>4615</v>
      </c>
      <c r="Y123" s="61" t="s">
        <v>125</v>
      </c>
    </row>
    <row r="124" spans="1:25" x14ac:dyDescent="0.25">
      <c r="A124" s="187" t="s">
        <v>847</v>
      </c>
      <c r="B124" s="61" t="s">
        <v>90</v>
      </c>
      <c r="C124" s="61" t="s">
        <v>150</v>
      </c>
      <c r="D124" s="199" t="s">
        <v>163</v>
      </c>
      <c r="E124" s="199" t="s">
        <v>1066</v>
      </c>
      <c r="F124" s="199" t="s">
        <v>1182</v>
      </c>
      <c r="G124" s="199" t="s">
        <v>193</v>
      </c>
      <c r="H124" s="199" t="s">
        <v>1254</v>
      </c>
      <c r="I124" s="199" t="s">
        <v>2284</v>
      </c>
      <c r="J124" s="199" t="s">
        <v>890</v>
      </c>
      <c r="K124" s="212">
        <v>2913.14</v>
      </c>
      <c r="L124" s="183">
        <f t="shared" si="3"/>
        <v>727.86000000000013</v>
      </c>
      <c r="M124" s="213">
        <v>0</v>
      </c>
      <c r="N124" s="212">
        <v>3641</v>
      </c>
      <c r="O124" s="187" t="s">
        <v>1425</v>
      </c>
      <c r="P124" s="199" t="s">
        <v>1585</v>
      </c>
      <c r="Q124" s="15" t="s">
        <v>1740</v>
      </c>
      <c r="S124" s="214">
        <v>42423.372681597197</v>
      </c>
      <c r="T124" s="187" t="s">
        <v>1754</v>
      </c>
      <c r="U124" s="61" t="s">
        <v>723</v>
      </c>
      <c r="W124" s="61" t="s">
        <v>4620</v>
      </c>
      <c r="X124" s="61" t="s">
        <v>4619</v>
      </c>
      <c r="Y124" s="61" t="s">
        <v>124</v>
      </c>
    </row>
    <row r="125" spans="1:25" x14ac:dyDescent="0.25">
      <c r="A125" s="187" t="s">
        <v>757</v>
      </c>
      <c r="B125" s="61" t="s">
        <v>90</v>
      </c>
      <c r="C125" s="61" t="s">
        <v>150</v>
      </c>
      <c r="D125" s="199" t="s">
        <v>934</v>
      </c>
      <c r="E125" s="199" t="s">
        <v>251</v>
      </c>
      <c r="F125" s="199" t="s">
        <v>251</v>
      </c>
      <c r="G125" s="199" t="s">
        <v>72</v>
      </c>
      <c r="H125" s="199" t="s">
        <v>75</v>
      </c>
      <c r="I125" s="199" t="s">
        <v>1276</v>
      </c>
      <c r="J125" s="199" t="s">
        <v>871</v>
      </c>
      <c r="K125" s="212">
        <v>207782.89</v>
      </c>
      <c r="L125" s="183">
        <f t="shared" si="3"/>
        <v>23087.109999999986</v>
      </c>
      <c r="M125" s="213">
        <v>0</v>
      </c>
      <c r="N125" s="212">
        <v>230870</v>
      </c>
      <c r="O125" s="187" t="s">
        <v>1316</v>
      </c>
      <c r="P125" s="199" t="s">
        <v>1476</v>
      </c>
      <c r="Q125" s="15" t="s">
        <v>1636</v>
      </c>
      <c r="S125" s="214">
        <v>42601.612547881901</v>
      </c>
      <c r="T125" s="187" t="s">
        <v>1755</v>
      </c>
      <c r="U125" s="61" t="s">
        <v>723</v>
      </c>
      <c r="W125" s="61" t="s">
        <v>4624</v>
      </c>
      <c r="X125" s="61" t="s">
        <v>4615</v>
      </c>
      <c r="Y125" s="61" t="s">
        <v>124</v>
      </c>
    </row>
    <row r="126" spans="1:25" x14ac:dyDescent="0.25">
      <c r="A126" s="187" t="s">
        <v>738</v>
      </c>
      <c r="B126" s="61" t="s">
        <v>90</v>
      </c>
      <c r="C126" s="61" t="s">
        <v>150</v>
      </c>
      <c r="D126" s="199" t="s">
        <v>921</v>
      </c>
      <c r="E126" s="199" t="s">
        <v>251</v>
      </c>
      <c r="F126" s="199" t="s">
        <v>1090</v>
      </c>
      <c r="G126" s="199" t="s">
        <v>72</v>
      </c>
      <c r="H126" s="199" t="s">
        <v>1203</v>
      </c>
      <c r="I126" s="199" t="s">
        <v>1274</v>
      </c>
      <c r="J126" s="199" t="s">
        <v>868</v>
      </c>
      <c r="K126" s="212">
        <v>294388</v>
      </c>
      <c r="L126" s="183">
        <f t="shared" si="3"/>
        <v>318920</v>
      </c>
      <c r="M126" s="213">
        <v>0</v>
      </c>
      <c r="N126" s="212">
        <v>613308</v>
      </c>
      <c r="O126" s="187" t="s">
        <v>1295</v>
      </c>
      <c r="P126" s="199" t="s">
        <v>1455</v>
      </c>
      <c r="Q126" s="15" t="s">
        <v>1615</v>
      </c>
      <c r="S126" s="214">
        <v>42411.646466585596</v>
      </c>
      <c r="T126" s="187" t="s">
        <v>1755</v>
      </c>
      <c r="U126" s="61" t="s">
        <v>723</v>
      </c>
      <c r="W126" s="61" t="s">
        <v>4624</v>
      </c>
      <c r="X126" s="61" t="s">
        <v>4615</v>
      </c>
      <c r="Y126" s="61" t="s">
        <v>124</v>
      </c>
    </row>
    <row r="127" spans="1:25" x14ac:dyDescent="0.25">
      <c r="A127" s="187" t="s">
        <v>747</v>
      </c>
      <c r="B127" s="61" t="s">
        <v>18</v>
      </c>
      <c r="C127" s="61" t="s">
        <v>150</v>
      </c>
      <c r="D127" s="199" t="s">
        <v>928</v>
      </c>
      <c r="E127" s="199" t="s">
        <v>992</v>
      </c>
      <c r="F127" s="199" t="s">
        <v>1099</v>
      </c>
      <c r="G127" s="199" t="s">
        <v>72</v>
      </c>
      <c r="H127" s="199" t="s">
        <v>74</v>
      </c>
      <c r="I127" s="199" t="s">
        <v>1274</v>
      </c>
      <c r="J127" s="199" t="s">
        <v>877</v>
      </c>
      <c r="K127" s="212">
        <v>9281</v>
      </c>
      <c r="L127" s="183">
        <f t="shared" si="3"/>
        <v>3094</v>
      </c>
      <c r="M127" s="213">
        <v>0</v>
      </c>
      <c r="N127" s="212">
        <v>12375</v>
      </c>
      <c r="O127" s="187" t="s">
        <v>1305</v>
      </c>
      <c r="P127" s="199" t="s">
        <v>1465</v>
      </c>
      <c r="Q127" s="15" t="s">
        <v>1625</v>
      </c>
      <c r="S127" s="214">
        <v>42439.664519756901</v>
      </c>
      <c r="T127" s="187" t="s">
        <v>1755</v>
      </c>
      <c r="U127" s="61" t="s">
        <v>723</v>
      </c>
      <c r="W127" s="61" t="s">
        <v>225</v>
      </c>
      <c r="X127" s="61" t="s">
        <v>4615</v>
      </c>
      <c r="Y127" s="61" t="s">
        <v>125</v>
      </c>
    </row>
    <row r="128" spans="1:25" x14ac:dyDescent="0.25">
      <c r="A128" s="187" t="s">
        <v>761</v>
      </c>
      <c r="B128" s="61" t="s">
        <v>18</v>
      </c>
      <c r="C128" s="61" t="s">
        <v>150</v>
      </c>
      <c r="D128" s="199" t="s">
        <v>4066</v>
      </c>
      <c r="E128" s="199" t="s">
        <v>1003</v>
      </c>
      <c r="F128" s="199" t="s">
        <v>1110</v>
      </c>
      <c r="G128" s="199" t="s">
        <v>72</v>
      </c>
      <c r="H128" s="199" t="s">
        <v>74</v>
      </c>
      <c r="I128" s="199" t="s">
        <v>1274</v>
      </c>
      <c r="J128" s="199" t="s">
        <v>875</v>
      </c>
      <c r="K128" s="212">
        <v>7255.8</v>
      </c>
      <c r="L128" s="183">
        <f t="shared" si="3"/>
        <v>2418.1999999999998</v>
      </c>
      <c r="M128" s="213">
        <v>0</v>
      </c>
      <c r="N128" s="212">
        <v>9674</v>
      </c>
      <c r="O128" s="187" t="s">
        <v>1320</v>
      </c>
      <c r="P128" s="199" t="s">
        <v>1480</v>
      </c>
      <c r="Q128" s="15" t="s">
        <v>1640</v>
      </c>
      <c r="S128" s="214">
        <v>42341.382219942097</v>
      </c>
      <c r="T128" s="187" t="s">
        <v>1754</v>
      </c>
      <c r="U128" s="61" t="s">
        <v>723</v>
      </c>
      <c r="W128" s="61" t="s">
        <v>225</v>
      </c>
      <c r="X128" s="61" t="s">
        <v>4615</v>
      </c>
      <c r="Y128" s="61" t="s">
        <v>125</v>
      </c>
    </row>
    <row r="129" spans="1:25" x14ac:dyDescent="0.25">
      <c r="A129" s="187" t="s">
        <v>775</v>
      </c>
      <c r="B129" s="61" t="s">
        <v>18</v>
      </c>
      <c r="C129" s="61" t="s">
        <v>150</v>
      </c>
      <c r="D129" s="199" t="s">
        <v>455</v>
      </c>
      <c r="E129" s="199" t="s">
        <v>1012</v>
      </c>
      <c r="F129" s="199" t="s">
        <v>1121</v>
      </c>
      <c r="G129" s="199" t="s">
        <v>72</v>
      </c>
      <c r="H129" s="199" t="s">
        <v>1218</v>
      </c>
      <c r="I129" s="199" t="s">
        <v>2284</v>
      </c>
      <c r="J129" s="199" t="s">
        <v>884</v>
      </c>
      <c r="K129" s="212">
        <v>48599.98</v>
      </c>
      <c r="L129" s="183">
        <f t="shared" si="3"/>
        <v>12150.019999999997</v>
      </c>
      <c r="M129" s="213">
        <v>0</v>
      </c>
      <c r="N129" s="212">
        <v>60750</v>
      </c>
      <c r="O129" s="187" t="s">
        <v>1334</v>
      </c>
      <c r="P129" s="199" t="s">
        <v>1494</v>
      </c>
      <c r="Q129" s="15" t="s">
        <v>1654</v>
      </c>
      <c r="S129" s="214">
        <v>42432.629781944401</v>
      </c>
      <c r="T129" s="187" t="s">
        <v>1754</v>
      </c>
      <c r="U129" s="61" t="s">
        <v>723</v>
      </c>
      <c r="W129" s="61" t="s">
        <v>4620</v>
      </c>
      <c r="X129" s="61" t="s">
        <v>4619</v>
      </c>
      <c r="Y129" s="61" t="s">
        <v>124</v>
      </c>
    </row>
    <row r="130" spans="1:25" x14ac:dyDescent="0.25">
      <c r="A130" s="187" t="s">
        <v>840</v>
      </c>
      <c r="B130" s="61" t="s">
        <v>18</v>
      </c>
      <c r="C130" s="61" t="s">
        <v>150</v>
      </c>
      <c r="D130" s="199" t="s">
        <v>969</v>
      </c>
      <c r="E130" s="199" t="s">
        <v>1062</v>
      </c>
      <c r="F130" s="199" t="s">
        <v>1177</v>
      </c>
      <c r="G130" s="199" t="s">
        <v>72</v>
      </c>
      <c r="H130" s="199" t="s">
        <v>1267</v>
      </c>
      <c r="I130" s="199" t="s">
        <v>2284</v>
      </c>
      <c r="J130" s="199" t="s">
        <v>884</v>
      </c>
      <c r="K130" s="212">
        <v>7247.76</v>
      </c>
      <c r="L130" s="183">
        <f t="shared" ref="L130:L161" si="4">N130-K130</f>
        <v>1812.2399999999998</v>
      </c>
      <c r="M130" s="213">
        <v>0</v>
      </c>
      <c r="N130" s="212">
        <v>9060</v>
      </c>
      <c r="O130" s="187" t="s">
        <v>1416</v>
      </c>
      <c r="P130" s="199" t="s">
        <v>1576</v>
      </c>
      <c r="Q130" s="15" t="s">
        <v>1733</v>
      </c>
      <c r="S130" s="214">
        <v>42577.531268286999</v>
      </c>
      <c r="T130" s="187" t="s">
        <v>1754</v>
      </c>
      <c r="U130" s="61" t="s">
        <v>723</v>
      </c>
      <c r="W130" s="61" t="s">
        <v>4616</v>
      </c>
      <c r="X130" s="61" t="s">
        <v>4617</v>
      </c>
      <c r="Y130" s="61" t="s">
        <v>125</v>
      </c>
    </row>
    <row r="131" spans="1:25" x14ac:dyDescent="0.25">
      <c r="A131" s="187" t="s">
        <v>849</v>
      </c>
      <c r="B131" s="61" t="s">
        <v>18</v>
      </c>
      <c r="C131" s="61" t="s">
        <v>150</v>
      </c>
      <c r="D131" s="199" t="s">
        <v>163</v>
      </c>
      <c r="E131" s="199" t="s">
        <v>1068</v>
      </c>
      <c r="F131" s="199" t="s">
        <v>41</v>
      </c>
      <c r="G131" s="199" t="s">
        <v>193</v>
      </c>
      <c r="H131" s="199" t="s">
        <v>1264</v>
      </c>
      <c r="I131" s="199" t="s">
        <v>1276</v>
      </c>
      <c r="J131" s="199" t="s">
        <v>871</v>
      </c>
      <c r="K131" s="212">
        <v>110207</v>
      </c>
      <c r="L131" s="183">
        <f t="shared" si="4"/>
        <v>12245</v>
      </c>
      <c r="M131" s="213">
        <v>0</v>
      </c>
      <c r="N131" s="212">
        <v>122452</v>
      </c>
      <c r="O131" s="187" t="s">
        <v>1427</v>
      </c>
      <c r="P131" s="199" t="s">
        <v>1587</v>
      </c>
      <c r="Q131" s="15" t="s">
        <v>1742</v>
      </c>
      <c r="S131" s="214">
        <v>42495.581147951401</v>
      </c>
      <c r="T131" s="187" t="s">
        <v>1755</v>
      </c>
      <c r="U131" s="61" t="s">
        <v>723</v>
      </c>
      <c r="W131" s="61" t="s">
        <v>624</v>
      </c>
      <c r="X131" s="61" t="s">
        <v>1849</v>
      </c>
      <c r="Y131" s="61" t="s">
        <v>125</v>
      </c>
    </row>
    <row r="132" spans="1:25" x14ac:dyDescent="0.25">
      <c r="A132" s="187" t="s">
        <v>741</v>
      </c>
      <c r="B132" s="61" t="s">
        <v>18</v>
      </c>
      <c r="C132" s="61" t="s">
        <v>150</v>
      </c>
      <c r="D132" s="199" t="s">
        <v>924</v>
      </c>
      <c r="E132" s="199" t="s">
        <v>986</v>
      </c>
      <c r="F132" s="199" t="s">
        <v>1093</v>
      </c>
      <c r="G132" s="199" t="s">
        <v>72</v>
      </c>
      <c r="H132" s="199" t="s">
        <v>1206</v>
      </c>
      <c r="I132" s="199" t="s">
        <v>4630</v>
      </c>
      <c r="J132" s="199" t="s">
        <v>879</v>
      </c>
      <c r="K132" s="212">
        <v>1049</v>
      </c>
      <c r="L132" s="183">
        <f t="shared" si="4"/>
        <v>262</v>
      </c>
      <c r="M132" s="213">
        <v>0</v>
      </c>
      <c r="N132" s="212">
        <v>1311</v>
      </c>
      <c r="O132" s="187" t="s">
        <v>1298</v>
      </c>
      <c r="P132" s="199" t="s">
        <v>1458</v>
      </c>
      <c r="Q132" s="15" t="s">
        <v>1618</v>
      </c>
      <c r="S132" s="214">
        <v>42584.535979479202</v>
      </c>
      <c r="T132" s="187" t="s">
        <v>1755</v>
      </c>
      <c r="U132" s="61" t="s">
        <v>723</v>
      </c>
      <c r="W132" s="61" t="s">
        <v>4616</v>
      </c>
      <c r="X132" s="61" t="s">
        <v>4617</v>
      </c>
      <c r="Y132" s="61" t="s">
        <v>125</v>
      </c>
    </row>
    <row r="133" spans="1:25" x14ac:dyDescent="0.25">
      <c r="A133" s="187" t="s">
        <v>816</v>
      </c>
      <c r="B133" s="61" t="s">
        <v>90</v>
      </c>
      <c r="C133" s="61" t="s">
        <v>150</v>
      </c>
      <c r="D133" s="199" t="s">
        <v>478</v>
      </c>
      <c r="E133" s="199" t="s">
        <v>479</v>
      </c>
      <c r="F133" s="199" t="s">
        <v>1156</v>
      </c>
      <c r="G133" s="199" t="s">
        <v>72</v>
      </c>
      <c r="H133" s="199" t="s">
        <v>1251</v>
      </c>
      <c r="I133" s="199" t="s">
        <v>1276</v>
      </c>
      <c r="J133" s="199" t="s">
        <v>903</v>
      </c>
      <c r="K133" s="212">
        <v>8661.01</v>
      </c>
      <c r="L133" s="183">
        <f t="shared" si="4"/>
        <v>961.98999999999978</v>
      </c>
      <c r="M133" s="213">
        <v>0</v>
      </c>
      <c r="N133" s="212">
        <v>9623</v>
      </c>
      <c r="O133" s="187" t="s">
        <v>1384</v>
      </c>
      <c r="P133" s="199" t="s">
        <v>1544</v>
      </c>
      <c r="Q133" s="15" t="s">
        <v>1701</v>
      </c>
      <c r="S133" s="214">
        <v>42451.481740706004</v>
      </c>
      <c r="T133" s="187" t="s">
        <v>1754</v>
      </c>
      <c r="U133" s="61" t="s">
        <v>723</v>
      </c>
      <c r="W133" s="61" t="s">
        <v>624</v>
      </c>
      <c r="X133" s="61" t="s">
        <v>1849</v>
      </c>
      <c r="Y133" s="61" t="s">
        <v>124</v>
      </c>
    </row>
    <row r="134" spans="1:25" x14ac:dyDescent="0.25">
      <c r="A134" s="187" t="s">
        <v>780</v>
      </c>
      <c r="B134" s="61" t="s">
        <v>18</v>
      </c>
      <c r="C134" s="61" t="s">
        <v>150</v>
      </c>
      <c r="D134" s="199" t="s">
        <v>455</v>
      </c>
      <c r="E134" s="199" t="s">
        <v>1017</v>
      </c>
      <c r="F134" s="199" t="s">
        <v>4668</v>
      </c>
      <c r="G134" s="199" t="s">
        <v>72</v>
      </c>
      <c r="H134" s="199" t="s">
        <v>1224</v>
      </c>
      <c r="I134" s="199" t="s">
        <v>2284</v>
      </c>
      <c r="J134" s="199" t="s">
        <v>889</v>
      </c>
      <c r="K134" s="212">
        <v>1586000</v>
      </c>
      <c r="L134" s="183">
        <f t="shared" si="4"/>
        <v>1057333</v>
      </c>
      <c r="M134" s="213">
        <v>0</v>
      </c>
      <c r="N134" s="212">
        <v>2643333</v>
      </c>
      <c r="O134" s="187" t="s">
        <v>1340</v>
      </c>
      <c r="P134" s="199" t="s">
        <v>1500</v>
      </c>
      <c r="Q134" s="15" t="s">
        <v>1659</v>
      </c>
      <c r="S134" s="214">
        <v>42531.416745335599</v>
      </c>
      <c r="T134" s="187" t="s">
        <v>1755</v>
      </c>
      <c r="U134" s="61" t="s">
        <v>723</v>
      </c>
      <c r="W134" s="61" t="s">
        <v>4626</v>
      </c>
      <c r="X134" s="61" t="s">
        <v>1849</v>
      </c>
      <c r="Y134" s="61" t="s">
        <v>124</v>
      </c>
    </row>
    <row r="135" spans="1:25" x14ac:dyDescent="0.25">
      <c r="A135" s="187" t="s">
        <v>502</v>
      </c>
      <c r="B135" s="61" t="s">
        <v>90</v>
      </c>
      <c r="C135" s="61" t="s">
        <v>150</v>
      </c>
      <c r="D135" s="199" t="s">
        <v>163</v>
      </c>
      <c r="E135" s="199" t="s">
        <v>479</v>
      </c>
      <c r="F135" s="199" t="s">
        <v>503</v>
      </c>
      <c r="G135" s="199" t="s">
        <v>72</v>
      </c>
      <c r="H135" s="199" t="s">
        <v>1209</v>
      </c>
      <c r="I135" s="199" t="s">
        <v>1275</v>
      </c>
      <c r="J135" s="199" t="s">
        <v>873</v>
      </c>
      <c r="K135" s="212">
        <v>303205</v>
      </c>
      <c r="L135" s="183">
        <f t="shared" si="4"/>
        <v>75801</v>
      </c>
      <c r="M135" s="213">
        <v>0</v>
      </c>
      <c r="N135" s="212">
        <v>379006</v>
      </c>
      <c r="O135" s="187" t="s">
        <v>1302</v>
      </c>
      <c r="P135" s="199" t="s">
        <v>1462</v>
      </c>
      <c r="Q135" s="15" t="s">
        <v>1622</v>
      </c>
      <c r="S135" s="214">
        <v>42381.517862581</v>
      </c>
      <c r="T135" s="187" t="s">
        <v>1755</v>
      </c>
      <c r="U135" s="61" t="s">
        <v>723</v>
      </c>
      <c r="W135" s="61" t="s">
        <v>4624</v>
      </c>
      <c r="X135" s="61" t="s">
        <v>4615</v>
      </c>
      <c r="Y135" s="61" t="s">
        <v>124</v>
      </c>
    </row>
    <row r="136" spans="1:25" x14ac:dyDescent="0.25">
      <c r="A136" s="187" t="s">
        <v>861</v>
      </c>
      <c r="B136" s="61" t="s">
        <v>90</v>
      </c>
      <c r="C136" s="61" t="s">
        <v>150</v>
      </c>
      <c r="D136" s="199" t="s">
        <v>4659</v>
      </c>
      <c r="E136" s="199" t="s">
        <v>4660</v>
      </c>
      <c r="F136" s="199" t="s">
        <v>4661</v>
      </c>
      <c r="G136" s="199" t="s">
        <v>72</v>
      </c>
      <c r="H136" s="199" t="s">
        <v>1266</v>
      </c>
      <c r="I136" s="61" t="s">
        <v>4633</v>
      </c>
      <c r="J136" s="199" t="s">
        <v>909</v>
      </c>
      <c r="K136" s="212">
        <v>5238245</v>
      </c>
      <c r="L136" s="183">
        <f t="shared" si="4"/>
        <v>4584078</v>
      </c>
      <c r="M136" s="213">
        <v>0</v>
      </c>
      <c r="N136" s="212">
        <v>9822323</v>
      </c>
      <c r="O136" s="187" t="s">
        <v>1415</v>
      </c>
      <c r="P136" s="199" t="s">
        <v>1575</v>
      </c>
      <c r="Q136" s="15" t="s">
        <v>1732</v>
      </c>
      <c r="S136" s="214">
        <v>42431.6427303241</v>
      </c>
      <c r="T136" s="187" t="s">
        <v>1755</v>
      </c>
      <c r="U136" s="61" t="s">
        <v>723</v>
      </c>
      <c r="W136" s="61" t="s">
        <v>82</v>
      </c>
      <c r="X136" s="61" t="s">
        <v>4615</v>
      </c>
      <c r="Y136" s="61" t="s">
        <v>126</v>
      </c>
    </row>
    <row r="137" spans="1:25" x14ac:dyDescent="0.25">
      <c r="A137" s="187" t="s">
        <v>815</v>
      </c>
      <c r="B137" s="61" t="s">
        <v>90</v>
      </c>
      <c r="C137" s="61" t="s">
        <v>150</v>
      </c>
      <c r="D137" s="199" t="s">
        <v>163</v>
      </c>
      <c r="E137" s="199" t="s">
        <v>1045</v>
      </c>
      <c r="F137" s="199" t="s">
        <v>1045</v>
      </c>
      <c r="G137" s="199" t="s">
        <v>72</v>
      </c>
      <c r="H137" s="199" t="s">
        <v>1250</v>
      </c>
      <c r="I137" s="61" t="s">
        <v>867</v>
      </c>
      <c r="J137" s="199" t="s">
        <v>902</v>
      </c>
      <c r="K137" s="212">
        <v>184148</v>
      </c>
      <c r="L137" s="183">
        <f t="shared" si="4"/>
        <v>276222</v>
      </c>
      <c r="M137" s="213">
        <v>0</v>
      </c>
      <c r="N137" s="212">
        <v>460370</v>
      </c>
      <c r="O137" s="187" t="s">
        <v>1383</v>
      </c>
      <c r="P137" s="199" t="s">
        <v>1543</v>
      </c>
      <c r="Q137" s="15" t="s">
        <v>1700</v>
      </c>
      <c r="S137" s="214">
        <v>42527.6004400116</v>
      </c>
      <c r="T137" s="187" t="s">
        <v>1755</v>
      </c>
      <c r="U137" s="61" t="s">
        <v>723</v>
      </c>
      <c r="W137" s="61" t="s">
        <v>82</v>
      </c>
      <c r="X137" s="61" t="s">
        <v>4615</v>
      </c>
      <c r="Y137" s="61" t="s">
        <v>126</v>
      </c>
    </row>
    <row r="138" spans="1:25" x14ac:dyDescent="0.25">
      <c r="A138" s="187" t="s">
        <v>844</v>
      </c>
      <c r="B138" s="61" t="s">
        <v>18</v>
      </c>
      <c r="C138" s="61" t="s">
        <v>20</v>
      </c>
      <c r="D138" s="199" t="s">
        <v>4665</v>
      </c>
      <c r="E138" s="199" t="s">
        <v>29</v>
      </c>
      <c r="F138" s="199" t="s">
        <v>1181</v>
      </c>
      <c r="G138" s="199" t="s">
        <v>193</v>
      </c>
      <c r="H138" s="199" t="s">
        <v>1269</v>
      </c>
      <c r="I138" s="199" t="s">
        <v>1274</v>
      </c>
      <c r="J138" s="199" t="s">
        <v>906</v>
      </c>
      <c r="K138" s="212">
        <v>58</v>
      </c>
      <c r="L138" s="183">
        <f t="shared" si="4"/>
        <v>15</v>
      </c>
      <c r="M138" s="213">
        <v>0</v>
      </c>
      <c r="N138" s="212">
        <v>73</v>
      </c>
      <c r="O138" s="187" t="s">
        <v>1422</v>
      </c>
      <c r="P138" s="199" t="s">
        <v>1582</v>
      </c>
      <c r="Q138" s="15" t="s">
        <v>1737</v>
      </c>
      <c r="S138" s="214">
        <v>42432.609308877298</v>
      </c>
      <c r="T138" s="187" t="s">
        <v>1754</v>
      </c>
      <c r="U138" s="61" t="s">
        <v>723</v>
      </c>
      <c r="W138" s="61" t="s">
        <v>4624</v>
      </c>
      <c r="X138" s="61" t="s">
        <v>4615</v>
      </c>
      <c r="Y138" s="61" t="s">
        <v>125</v>
      </c>
    </row>
    <row r="139" spans="1:25" x14ac:dyDescent="0.25">
      <c r="A139" s="187" t="s">
        <v>739</v>
      </c>
      <c r="B139" s="61" t="s">
        <v>90</v>
      </c>
      <c r="C139" s="61" t="s">
        <v>20</v>
      </c>
      <c r="D139" s="199" t="s">
        <v>922</v>
      </c>
      <c r="E139" s="199" t="s">
        <v>984</v>
      </c>
      <c r="F139" s="199" t="s">
        <v>1091</v>
      </c>
      <c r="G139" s="199" t="s">
        <v>72</v>
      </c>
      <c r="H139" s="199" t="s">
        <v>1204</v>
      </c>
      <c r="I139" s="199" t="s">
        <v>2284</v>
      </c>
      <c r="J139" s="199" t="s">
        <v>878</v>
      </c>
      <c r="K139" s="212">
        <v>1257.8800000000001</v>
      </c>
      <c r="L139" s="183">
        <f t="shared" si="4"/>
        <v>314.11999999999989</v>
      </c>
      <c r="M139" s="213">
        <v>0</v>
      </c>
      <c r="N139" s="212">
        <v>1572</v>
      </c>
      <c r="O139" s="187" t="s">
        <v>1296</v>
      </c>
      <c r="P139" s="199" t="s">
        <v>1456</v>
      </c>
      <c r="Q139" s="15" t="s">
        <v>1616</v>
      </c>
      <c r="S139" s="214">
        <v>42473.438608530101</v>
      </c>
      <c r="T139" s="187" t="s">
        <v>1754</v>
      </c>
      <c r="U139" s="61" t="s">
        <v>723</v>
      </c>
      <c r="W139" s="61" t="s">
        <v>4616</v>
      </c>
      <c r="X139" s="61" t="s">
        <v>4617</v>
      </c>
      <c r="Y139" s="61" t="s">
        <v>125</v>
      </c>
    </row>
    <row r="140" spans="1:25" x14ac:dyDescent="0.25">
      <c r="A140" s="187" t="s">
        <v>763</v>
      </c>
      <c r="B140" s="61" t="s">
        <v>90</v>
      </c>
      <c r="C140" s="61" t="s">
        <v>20</v>
      </c>
      <c r="D140" s="199" t="s">
        <v>4658</v>
      </c>
      <c r="E140" s="199" t="s">
        <v>27</v>
      </c>
      <c r="F140" s="199" t="s">
        <v>1112</v>
      </c>
      <c r="G140" s="199" t="s">
        <v>72</v>
      </c>
      <c r="H140" s="199" t="s">
        <v>1218</v>
      </c>
      <c r="I140" s="199" t="s">
        <v>2284</v>
      </c>
      <c r="J140" s="199" t="s">
        <v>890</v>
      </c>
      <c r="K140" s="212">
        <v>3194.4</v>
      </c>
      <c r="L140" s="183">
        <f t="shared" si="4"/>
        <v>2129.6</v>
      </c>
      <c r="M140" s="213">
        <v>0</v>
      </c>
      <c r="N140" s="212">
        <v>5324</v>
      </c>
      <c r="O140" s="187" t="s">
        <v>1322</v>
      </c>
      <c r="P140" s="199" t="s">
        <v>1482</v>
      </c>
      <c r="Q140" s="15" t="s">
        <v>1642</v>
      </c>
      <c r="S140" s="214">
        <v>42584.470231678199</v>
      </c>
      <c r="T140" s="187" t="s">
        <v>1754</v>
      </c>
      <c r="U140" s="61" t="s">
        <v>723</v>
      </c>
      <c r="W140" s="61" t="s">
        <v>4620</v>
      </c>
      <c r="X140" s="61" t="s">
        <v>4619</v>
      </c>
      <c r="Y140" s="61" t="s">
        <v>124</v>
      </c>
    </row>
    <row r="141" spans="1:25" x14ac:dyDescent="0.25">
      <c r="A141" s="187" t="s">
        <v>763</v>
      </c>
      <c r="B141" s="61" t="s">
        <v>90</v>
      </c>
      <c r="C141" s="61" t="s">
        <v>20</v>
      </c>
      <c r="D141" s="199" t="s">
        <v>4658</v>
      </c>
      <c r="E141" s="199" t="s">
        <v>27</v>
      </c>
      <c r="F141" s="199" t="s">
        <v>1112</v>
      </c>
      <c r="G141" s="199" t="s">
        <v>72</v>
      </c>
      <c r="H141" s="199" t="s">
        <v>1218</v>
      </c>
      <c r="I141" s="199" t="s">
        <v>2284</v>
      </c>
      <c r="J141" s="199" t="s">
        <v>890</v>
      </c>
      <c r="K141" s="212">
        <v>819.42</v>
      </c>
      <c r="L141" s="183">
        <f t="shared" si="4"/>
        <v>546.58000000000004</v>
      </c>
      <c r="M141" s="213">
        <v>0</v>
      </c>
      <c r="N141" s="212">
        <v>1366</v>
      </c>
      <c r="O141" s="187" t="s">
        <v>1322</v>
      </c>
      <c r="P141" s="199" t="s">
        <v>1482</v>
      </c>
      <c r="Q141" s="15" t="s">
        <v>1642</v>
      </c>
      <c r="S141" s="214">
        <v>42492.567569247702</v>
      </c>
      <c r="T141" s="187" t="s">
        <v>1754</v>
      </c>
      <c r="U141" s="61" t="s">
        <v>723</v>
      </c>
      <c r="W141" s="61" t="s">
        <v>4620</v>
      </c>
      <c r="X141" s="61" t="s">
        <v>4619</v>
      </c>
      <c r="Y141" s="61" t="s">
        <v>124</v>
      </c>
    </row>
    <row r="142" spans="1:25" x14ac:dyDescent="0.25">
      <c r="A142" s="187" t="s">
        <v>769</v>
      </c>
      <c r="B142" s="61" t="s">
        <v>18</v>
      </c>
      <c r="C142" s="61" t="s">
        <v>20</v>
      </c>
      <c r="D142" s="199" t="s">
        <v>937</v>
      </c>
      <c r="E142" s="199" t="s">
        <v>1008</v>
      </c>
      <c r="F142" s="199" t="s">
        <v>1115</v>
      </c>
      <c r="G142" s="199" t="s">
        <v>193</v>
      </c>
      <c r="H142" s="199" t="s">
        <v>1247</v>
      </c>
      <c r="I142" s="199" t="s">
        <v>1277</v>
      </c>
      <c r="J142" s="199" t="s">
        <v>900</v>
      </c>
      <c r="K142" s="212">
        <v>365.99</v>
      </c>
      <c r="L142" s="183">
        <f t="shared" si="4"/>
        <v>91.009999999999991</v>
      </c>
      <c r="M142" s="213">
        <v>0</v>
      </c>
      <c r="N142" s="212">
        <v>457</v>
      </c>
      <c r="O142" s="187" t="s">
        <v>1421</v>
      </c>
      <c r="P142" s="199" t="s">
        <v>1581</v>
      </c>
      <c r="Q142" s="15" t="s">
        <v>1648</v>
      </c>
      <c r="S142" s="214">
        <v>42613.640789004603</v>
      </c>
      <c r="T142" s="187" t="s">
        <v>1754</v>
      </c>
      <c r="U142" s="61" t="s">
        <v>723</v>
      </c>
      <c r="W142" s="61" t="s">
        <v>4625</v>
      </c>
      <c r="X142" s="61" t="s">
        <v>4615</v>
      </c>
      <c r="Y142" s="61" t="s">
        <v>124</v>
      </c>
    </row>
    <row r="143" spans="1:25" x14ac:dyDescent="0.25">
      <c r="A143" s="187" t="s">
        <v>769</v>
      </c>
      <c r="B143" s="61" t="s">
        <v>18</v>
      </c>
      <c r="C143" s="61" t="s">
        <v>20</v>
      </c>
      <c r="D143" s="199" t="s">
        <v>937</v>
      </c>
      <c r="E143" s="199" t="s">
        <v>1008</v>
      </c>
      <c r="F143" s="199" t="s">
        <v>1115</v>
      </c>
      <c r="G143" s="199" t="s">
        <v>193</v>
      </c>
      <c r="H143" s="199" t="s">
        <v>1247</v>
      </c>
      <c r="I143" s="199" t="s">
        <v>1277</v>
      </c>
      <c r="J143" s="199" t="s">
        <v>900</v>
      </c>
      <c r="K143" s="212">
        <v>21233</v>
      </c>
      <c r="L143" s="183">
        <f t="shared" si="4"/>
        <v>5308</v>
      </c>
      <c r="M143" s="213">
        <v>0</v>
      </c>
      <c r="N143" s="212">
        <v>26541</v>
      </c>
      <c r="O143" s="187" t="s">
        <v>1421</v>
      </c>
      <c r="P143" s="199" t="s">
        <v>1581</v>
      </c>
      <c r="Q143" s="15" t="s">
        <v>1648</v>
      </c>
      <c r="S143" s="214">
        <v>42332.661084988402</v>
      </c>
      <c r="T143" s="187" t="s">
        <v>1755</v>
      </c>
      <c r="U143" s="61" t="s">
        <v>723</v>
      </c>
      <c r="W143" s="61" t="s">
        <v>4625</v>
      </c>
      <c r="X143" s="61" t="s">
        <v>4615</v>
      </c>
      <c r="Y143" s="61" t="s">
        <v>124</v>
      </c>
    </row>
    <row r="144" spans="1:25" x14ac:dyDescent="0.25">
      <c r="A144" s="187" t="s">
        <v>769</v>
      </c>
      <c r="B144" s="61" t="s">
        <v>18</v>
      </c>
      <c r="C144" s="61" t="s">
        <v>20</v>
      </c>
      <c r="D144" s="199" t="s">
        <v>937</v>
      </c>
      <c r="E144" s="199" t="s">
        <v>1008</v>
      </c>
      <c r="F144" s="199" t="s">
        <v>1115</v>
      </c>
      <c r="G144" s="199" t="s">
        <v>72</v>
      </c>
      <c r="H144" s="199" t="s">
        <v>1195</v>
      </c>
      <c r="I144" s="199" t="s">
        <v>1277</v>
      </c>
      <c r="J144" s="199" t="s">
        <v>882</v>
      </c>
      <c r="K144" s="212">
        <v>129350</v>
      </c>
      <c r="L144" s="183">
        <f t="shared" si="4"/>
        <v>113196</v>
      </c>
      <c r="M144" s="213">
        <v>0</v>
      </c>
      <c r="N144" s="212">
        <v>242546</v>
      </c>
      <c r="O144" s="187" t="s">
        <v>1328</v>
      </c>
      <c r="P144" s="199" t="s">
        <v>1488</v>
      </c>
      <c r="Q144" s="15" t="s">
        <v>1648</v>
      </c>
      <c r="S144" s="214">
        <v>42436.565203553197</v>
      </c>
      <c r="T144" s="187" t="s">
        <v>1755</v>
      </c>
      <c r="U144" s="61" t="s">
        <v>723</v>
      </c>
      <c r="W144" s="61" t="s">
        <v>4625</v>
      </c>
      <c r="X144" s="61" t="s">
        <v>4615</v>
      </c>
      <c r="Y144" s="61" t="s">
        <v>124</v>
      </c>
    </row>
    <row r="145" spans="1:25" x14ac:dyDescent="0.25">
      <c r="A145" s="187" t="s">
        <v>774</v>
      </c>
      <c r="B145" s="61" t="s">
        <v>18</v>
      </c>
      <c r="C145" s="61" t="s">
        <v>20</v>
      </c>
      <c r="D145" s="199" t="s">
        <v>937</v>
      </c>
      <c r="E145" s="199" t="s">
        <v>1011</v>
      </c>
      <c r="F145" s="199" t="s">
        <v>1120</v>
      </c>
      <c r="G145" s="199" t="s">
        <v>72</v>
      </c>
      <c r="H145" s="199" t="s">
        <v>2609</v>
      </c>
      <c r="I145" s="199" t="s">
        <v>1274</v>
      </c>
      <c r="J145" s="199" t="s">
        <v>875</v>
      </c>
      <c r="K145" s="212">
        <v>7776</v>
      </c>
      <c r="L145" s="183">
        <f t="shared" si="4"/>
        <v>7035</v>
      </c>
      <c r="M145" s="213">
        <v>0</v>
      </c>
      <c r="N145" s="212">
        <v>14811</v>
      </c>
      <c r="O145" s="187" t="s">
        <v>1333</v>
      </c>
      <c r="P145" s="199" t="s">
        <v>1493</v>
      </c>
      <c r="Q145" s="15" t="s">
        <v>1653</v>
      </c>
      <c r="S145" s="214">
        <v>42313.660492129602</v>
      </c>
      <c r="T145" s="187" t="s">
        <v>1755</v>
      </c>
      <c r="U145" s="61" t="s">
        <v>723</v>
      </c>
      <c r="W145" s="61" t="s">
        <v>225</v>
      </c>
      <c r="X145" s="61" t="s">
        <v>4615</v>
      </c>
      <c r="Y145" s="61" t="s">
        <v>125</v>
      </c>
    </row>
    <row r="146" spans="1:25" x14ac:dyDescent="0.25">
      <c r="A146" s="187" t="s">
        <v>781</v>
      </c>
      <c r="B146" s="61" t="s">
        <v>90</v>
      </c>
      <c r="C146" s="61" t="s">
        <v>20</v>
      </c>
      <c r="D146" s="199" t="s">
        <v>539</v>
      </c>
      <c r="E146" s="199" t="s">
        <v>1018</v>
      </c>
      <c r="F146" s="199" t="s">
        <v>1126</v>
      </c>
      <c r="G146" s="199" t="s">
        <v>72</v>
      </c>
      <c r="H146" s="199" t="s">
        <v>1221</v>
      </c>
      <c r="I146" s="199" t="s">
        <v>1277</v>
      </c>
      <c r="J146" s="199" t="s">
        <v>882</v>
      </c>
      <c r="K146" s="212">
        <v>23015</v>
      </c>
      <c r="L146" s="183">
        <f t="shared" si="4"/>
        <v>5754</v>
      </c>
      <c r="M146" s="213">
        <v>0</v>
      </c>
      <c r="N146" s="212">
        <v>28769</v>
      </c>
      <c r="O146" s="187" t="s">
        <v>1341</v>
      </c>
      <c r="P146" s="199" t="s">
        <v>1501</v>
      </c>
      <c r="Q146" s="15"/>
      <c r="S146" s="214">
        <v>42303.699127083302</v>
      </c>
      <c r="T146" s="187" t="s">
        <v>1755</v>
      </c>
      <c r="U146" s="61" t="s">
        <v>723</v>
      </c>
      <c r="W146" s="61" t="s">
        <v>4625</v>
      </c>
      <c r="X146" s="61" t="s">
        <v>4615</v>
      </c>
      <c r="Y146" s="61" t="s">
        <v>125</v>
      </c>
    </row>
    <row r="147" spans="1:25" x14ac:dyDescent="0.25">
      <c r="A147" s="187" t="s">
        <v>784</v>
      </c>
      <c r="B147" s="61" t="s">
        <v>18</v>
      </c>
      <c r="C147" s="61" t="s">
        <v>20</v>
      </c>
      <c r="D147" s="199" t="s">
        <v>551</v>
      </c>
      <c r="E147" s="199" t="s">
        <v>1020</v>
      </c>
      <c r="F147" s="199" t="s">
        <v>1129</v>
      </c>
      <c r="G147" s="199" t="s">
        <v>72</v>
      </c>
      <c r="H147" s="199" t="s">
        <v>1226</v>
      </c>
      <c r="I147" s="199" t="s">
        <v>2284</v>
      </c>
      <c r="J147" s="199" t="s">
        <v>884</v>
      </c>
      <c r="K147" s="212">
        <v>40000</v>
      </c>
      <c r="L147" s="183">
        <f t="shared" si="4"/>
        <v>10000</v>
      </c>
      <c r="M147" s="213">
        <v>0</v>
      </c>
      <c r="N147" s="212">
        <v>50000</v>
      </c>
      <c r="O147" s="187" t="s">
        <v>1344</v>
      </c>
      <c r="P147" s="199" t="s">
        <v>1504</v>
      </c>
      <c r="Q147" s="15" t="s">
        <v>1662</v>
      </c>
      <c r="S147" s="214">
        <v>42536.717106018499</v>
      </c>
      <c r="T147" s="187" t="s">
        <v>1755</v>
      </c>
      <c r="U147" s="61" t="s">
        <v>723</v>
      </c>
      <c r="W147" s="61" t="s">
        <v>4616</v>
      </c>
      <c r="X147" s="61" t="s">
        <v>4617</v>
      </c>
      <c r="Y147" s="61" t="s">
        <v>126</v>
      </c>
    </row>
    <row r="148" spans="1:25" x14ac:dyDescent="0.25">
      <c r="A148" s="187" t="s">
        <v>856</v>
      </c>
      <c r="B148" s="61" t="s">
        <v>18</v>
      </c>
      <c r="C148" s="61" t="s">
        <v>20</v>
      </c>
      <c r="D148" s="199" t="s">
        <v>518</v>
      </c>
      <c r="E148" s="199" t="s">
        <v>4655</v>
      </c>
      <c r="F148" s="199" t="s">
        <v>4656</v>
      </c>
      <c r="G148" s="199" t="s">
        <v>1192</v>
      </c>
      <c r="H148" s="199" t="s">
        <v>1273</v>
      </c>
      <c r="I148" s="199" t="s">
        <v>4634</v>
      </c>
      <c r="J148" s="199" t="s">
        <v>913</v>
      </c>
      <c r="K148" s="212">
        <v>10880</v>
      </c>
      <c r="L148" s="183">
        <f t="shared" si="4"/>
        <v>2720</v>
      </c>
      <c r="M148" s="213">
        <v>0</v>
      </c>
      <c r="N148" s="212">
        <v>13600</v>
      </c>
      <c r="O148" s="187" t="s">
        <v>1434</v>
      </c>
      <c r="P148" s="199" t="s">
        <v>1594</v>
      </c>
      <c r="Q148" s="15" t="s">
        <v>1749</v>
      </c>
      <c r="S148" s="214">
        <v>42542.404758680597</v>
      </c>
      <c r="T148" s="187" t="s">
        <v>1755</v>
      </c>
      <c r="U148" s="61" t="s">
        <v>723</v>
      </c>
      <c r="W148" s="61" t="s">
        <v>82</v>
      </c>
      <c r="X148" s="61" t="s">
        <v>4615</v>
      </c>
      <c r="Y148" s="61" t="s">
        <v>124</v>
      </c>
    </row>
    <row r="149" spans="1:25" x14ac:dyDescent="0.25">
      <c r="A149" s="187" t="s">
        <v>805</v>
      </c>
      <c r="B149" s="61" t="s">
        <v>18</v>
      </c>
      <c r="C149" s="61" t="s">
        <v>20</v>
      </c>
      <c r="D149" s="199" t="s">
        <v>518</v>
      </c>
      <c r="E149" s="199" t="s">
        <v>1036</v>
      </c>
      <c r="F149" s="199" t="s">
        <v>1145</v>
      </c>
      <c r="G149" s="199" t="s">
        <v>72</v>
      </c>
      <c r="H149" s="199" t="s">
        <v>1243</v>
      </c>
      <c r="I149" s="199" t="s">
        <v>1274</v>
      </c>
      <c r="J149" s="199" t="s">
        <v>866</v>
      </c>
      <c r="K149" s="212">
        <v>146703.60999999999</v>
      </c>
      <c r="L149" s="183">
        <f t="shared" si="4"/>
        <v>62873.390000000014</v>
      </c>
      <c r="M149" s="213">
        <v>0</v>
      </c>
      <c r="N149" s="212">
        <v>209577</v>
      </c>
      <c r="O149" s="187" t="s">
        <v>1371</v>
      </c>
      <c r="P149" s="199" t="s">
        <v>1531</v>
      </c>
      <c r="Q149" s="15" t="s">
        <v>1689</v>
      </c>
      <c r="S149" s="214">
        <v>42403.554318287002</v>
      </c>
      <c r="T149" s="187" t="s">
        <v>1755</v>
      </c>
      <c r="U149" s="61" t="s">
        <v>723</v>
      </c>
      <c r="W149" s="61" t="s">
        <v>4624</v>
      </c>
      <c r="X149" s="61" t="s">
        <v>4615</v>
      </c>
      <c r="Y149" s="61" t="s">
        <v>124</v>
      </c>
    </row>
    <row r="150" spans="1:25" ht="30" x14ac:dyDescent="0.25">
      <c r="A150" s="187" t="s">
        <v>813</v>
      </c>
      <c r="B150" s="61" t="s">
        <v>18</v>
      </c>
      <c r="C150" s="61" t="s">
        <v>181</v>
      </c>
      <c r="D150" s="199" t="s">
        <v>579</v>
      </c>
      <c r="E150" s="199" t="s">
        <v>1043</v>
      </c>
      <c r="F150" s="199" t="s">
        <v>1154</v>
      </c>
      <c r="G150" s="199" t="s">
        <v>72</v>
      </c>
      <c r="H150" s="199" t="s">
        <v>1244</v>
      </c>
      <c r="I150" s="199" t="s">
        <v>1274</v>
      </c>
      <c r="J150" s="199" t="s">
        <v>866</v>
      </c>
      <c r="K150" s="212">
        <v>36361.480000000003</v>
      </c>
      <c r="L150" s="183">
        <f t="shared" si="4"/>
        <v>39391.519999999997</v>
      </c>
      <c r="M150" s="213">
        <v>0</v>
      </c>
      <c r="N150" s="212">
        <v>75753</v>
      </c>
      <c r="O150" s="187" t="s">
        <v>1381</v>
      </c>
      <c r="P150" s="199" t="s">
        <v>1541</v>
      </c>
      <c r="Q150" s="15" t="s">
        <v>1698</v>
      </c>
      <c r="S150" s="214">
        <v>42542.634070370397</v>
      </c>
      <c r="T150" s="187" t="s">
        <v>1754</v>
      </c>
      <c r="U150" s="61" t="s">
        <v>723</v>
      </c>
      <c r="W150" s="61" t="s">
        <v>79</v>
      </c>
      <c r="X150" s="61" t="s">
        <v>4615</v>
      </c>
      <c r="Y150" s="61" t="s">
        <v>124</v>
      </c>
    </row>
    <row r="151" spans="1:25" x14ac:dyDescent="0.25">
      <c r="A151" s="187" t="s">
        <v>758</v>
      </c>
      <c r="B151" s="61" t="s">
        <v>18</v>
      </c>
      <c r="C151" s="61" t="s">
        <v>181</v>
      </c>
      <c r="D151" s="199" t="s">
        <v>181</v>
      </c>
      <c r="E151" s="199" t="s">
        <v>251</v>
      </c>
      <c r="F151" s="199" t="s">
        <v>1179</v>
      </c>
      <c r="G151" s="199" t="s">
        <v>193</v>
      </c>
      <c r="H151" s="199" t="s">
        <v>1209</v>
      </c>
      <c r="I151" s="199" t="s">
        <v>2284</v>
      </c>
      <c r="J151" s="199" t="s">
        <v>890</v>
      </c>
      <c r="K151" s="212">
        <v>843.38</v>
      </c>
      <c r="L151" s="183">
        <f t="shared" si="4"/>
        <v>210.62</v>
      </c>
      <c r="M151" s="213">
        <v>0</v>
      </c>
      <c r="N151" s="212">
        <v>1054</v>
      </c>
      <c r="O151" s="187" t="s">
        <v>1419</v>
      </c>
      <c r="P151" s="199" t="s">
        <v>1579</v>
      </c>
      <c r="Q151" s="15" t="s">
        <v>1637</v>
      </c>
      <c r="S151" s="214">
        <v>42508.707303819399</v>
      </c>
      <c r="T151" s="187" t="s">
        <v>1754</v>
      </c>
      <c r="U151" s="61" t="s">
        <v>723</v>
      </c>
      <c r="W151" s="61" t="s">
        <v>82</v>
      </c>
      <c r="X151" s="61" t="s">
        <v>4615</v>
      </c>
      <c r="Y151" s="61" t="s">
        <v>126</v>
      </c>
    </row>
    <row r="152" spans="1:25" x14ac:dyDescent="0.25">
      <c r="A152" s="187" t="s">
        <v>758</v>
      </c>
      <c r="B152" s="61" t="s">
        <v>18</v>
      </c>
      <c r="C152" s="61" t="s">
        <v>181</v>
      </c>
      <c r="D152" s="199" t="s">
        <v>181</v>
      </c>
      <c r="E152" s="199" t="s">
        <v>251</v>
      </c>
      <c r="F152" s="199" t="s">
        <v>251</v>
      </c>
      <c r="G152" s="199" t="s">
        <v>72</v>
      </c>
      <c r="H152" s="199" t="s">
        <v>1209</v>
      </c>
      <c r="I152" s="199" t="s">
        <v>2284</v>
      </c>
      <c r="J152" s="199" t="s">
        <v>889</v>
      </c>
      <c r="K152" s="212">
        <v>500000</v>
      </c>
      <c r="L152" s="183">
        <f t="shared" si="4"/>
        <v>125000</v>
      </c>
      <c r="M152" s="213">
        <v>0</v>
      </c>
      <c r="N152" s="212">
        <v>625000</v>
      </c>
      <c r="O152" s="187" t="s">
        <v>1317</v>
      </c>
      <c r="P152" s="199" t="s">
        <v>1477</v>
      </c>
      <c r="Q152" s="15" t="s">
        <v>1637</v>
      </c>
      <c r="S152" s="214">
        <v>42514.434870601901</v>
      </c>
      <c r="T152" s="187" t="s">
        <v>1755</v>
      </c>
      <c r="U152" s="61" t="s">
        <v>723</v>
      </c>
      <c r="W152" s="61" t="s">
        <v>82</v>
      </c>
      <c r="X152" s="61" t="s">
        <v>4615</v>
      </c>
      <c r="Y152" s="61" t="s">
        <v>126</v>
      </c>
    </row>
    <row r="153" spans="1:25" x14ac:dyDescent="0.25">
      <c r="A153" s="187" t="s">
        <v>758</v>
      </c>
      <c r="B153" s="61" t="s">
        <v>18</v>
      </c>
      <c r="C153" s="61" t="s">
        <v>181</v>
      </c>
      <c r="D153" s="199" t="s">
        <v>181</v>
      </c>
      <c r="E153" s="199" t="s">
        <v>251</v>
      </c>
      <c r="F153" s="199" t="s">
        <v>1179</v>
      </c>
      <c r="G153" s="199" t="s">
        <v>193</v>
      </c>
      <c r="H153" s="199" t="s">
        <v>1209</v>
      </c>
      <c r="I153" s="199" t="s">
        <v>4630</v>
      </c>
      <c r="J153" s="199" t="s">
        <v>905</v>
      </c>
      <c r="K153" s="212">
        <v>422</v>
      </c>
      <c r="L153" s="183">
        <f t="shared" si="4"/>
        <v>106</v>
      </c>
      <c r="M153" s="213">
        <v>0</v>
      </c>
      <c r="N153" s="212">
        <v>528</v>
      </c>
      <c r="O153" s="187" t="s">
        <v>1419</v>
      </c>
      <c r="P153" s="199" t="s">
        <v>1579</v>
      </c>
      <c r="Q153" s="15" t="s">
        <v>1637</v>
      </c>
      <c r="S153" s="214">
        <v>42508.707303819399</v>
      </c>
      <c r="T153" s="187" t="s">
        <v>1754</v>
      </c>
      <c r="U153" s="61" t="s">
        <v>723</v>
      </c>
      <c r="W153" s="61" t="s">
        <v>82</v>
      </c>
      <c r="X153" s="61" t="s">
        <v>4615</v>
      </c>
      <c r="Y153" s="61" t="s">
        <v>126</v>
      </c>
    </row>
    <row r="154" spans="1:25" x14ac:dyDescent="0.25">
      <c r="A154" s="187" t="s">
        <v>758</v>
      </c>
      <c r="B154" s="61" t="s">
        <v>18</v>
      </c>
      <c r="C154" s="61" t="s">
        <v>181</v>
      </c>
      <c r="D154" s="199" t="s">
        <v>181</v>
      </c>
      <c r="E154" s="199" t="s">
        <v>251</v>
      </c>
      <c r="F154" s="199" t="s">
        <v>251</v>
      </c>
      <c r="G154" s="199" t="s">
        <v>72</v>
      </c>
      <c r="H154" s="199" t="s">
        <v>1209</v>
      </c>
      <c r="I154" s="199" t="s">
        <v>4630</v>
      </c>
      <c r="J154" s="199" t="s">
        <v>887</v>
      </c>
      <c r="K154" s="212">
        <v>66073</v>
      </c>
      <c r="L154" s="183">
        <f t="shared" si="4"/>
        <v>16518</v>
      </c>
      <c r="M154" s="213">
        <v>0</v>
      </c>
      <c r="N154" s="212">
        <v>82591</v>
      </c>
      <c r="O154" s="187" t="s">
        <v>1317</v>
      </c>
      <c r="P154" s="199" t="s">
        <v>1477</v>
      </c>
      <c r="Q154" s="15" t="s">
        <v>1637</v>
      </c>
      <c r="S154" s="214">
        <v>42514.434870601901</v>
      </c>
      <c r="T154" s="187" t="s">
        <v>1755</v>
      </c>
      <c r="U154" s="61" t="s">
        <v>723</v>
      </c>
      <c r="W154" s="61" t="s">
        <v>82</v>
      </c>
      <c r="X154" s="61" t="s">
        <v>4615</v>
      </c>
      <c r="Y154" s="61" t="s">
        <v>126</v>
      </c>
    </row>
    <row r="155" spans="1:25" x14ac:dyDescent="0.25">
      <c r="A155" s="187" t="s">
        <v>731</v>
      </c>
      <c r="B155" s="61" t="s">
        <v>90</v>
      </c>
      <c r="C155" s="61" t="s">
        <v>181</v>
      </c>
      <c r="D155" s="15" t="s">
        <v>180</v>
      </c>
      <c r="E155" s="199" t="s">
        <v>978</v>
      </c>
      <c r="F155" s="199" t="s">
        <v>1083</v>
      </c>
      <c r="G155" s="199" t="s">
        <v>1191</v>
      </c>
      <c r="H155" s="199" t="s">
        <v>1195</v>
      </c>
      <c r="I155" s="199" t="s">
        <v>1277</v>
      </c>
      <c r="J155" s="199" t="s">
        <v>872</v>
      </c>
      <c r="K155" s="212">
        <v>23137.5</v>
      </c>
      <c r="L155" s="183">
        <f t="shared" si="4"/>
        <v>5784.380000000001</v>
      </c>
      <c r="M155" s="213">
        <v>0</v>
      </c>
      <c r="N155" s="212">
        <v>28921.88</v>
      </c>
      <c r="O155" s="187" t="s">
        <v>1286</v>
      </c>
      <c r="P155" s="199" t="s">
        <v>1446</v>
      </c>
      <c r="Q155" s="15" t="s">
        <v>1606</v>
      </c>
      <c r="S155" s="214">
        <v>42475.459315821798</v>
      </c>
      <c r="T155" s="187" t="s">
        <v>1754</v>
      </c>
      <c r="U155" s="61" t="s">
        <v>723</v>
      </c>
      <c r="W155" s="61" t="s">
        <v>4625</v>
      </c>
      <c r="X155" s="61" t="s">
        <v>4615</v>
      </c>
      <c r="Y155" s="61" t="s">
        <v>124</v>
      </c>
    </row>
    <row r="156" spans="1:25" x14ac:dyDescent="0.25">
      <c r="A156" s="187" t="s">
        <v>808</v>
      </c>
      <c r="B156" s="61" t="s">
        <v>90</v>
      </c>
      <c r="C156" s="61" t="s">
        <v>181</v>
      </c>
      <c r="D156" s="199" t="s">
        <v>180</v>
      </c>
      <c r="E156" s="199" t="s">
        <v>978</v>
      </c>
      <c r="F156" s="199" t="s">
        <v>1149</v>
      </c>
      <c r="G156" s="199" t="s">
        <v>72</v>
      </c>
      <c r="H156" s="199" t="s">
        <v>1247</v>
      </c>
      <c r="I156" s="199" t="s">
        <v>1277</v>
      </c>
      <c r="J156" s="199" t="s">
        <v>872</v>
      </c>
      <c r="K156" s="212">
        <v>2149.0500000000002</v>
      </c>
      <c r="L156" s="183">
        <f t="shared" si="4"/>
        <v>3223.95</v>
      </c>
      <c r="M156" s="213">
        <v>0</v>
      </c>
      <c r="N156" s="212">
        <v>5373</v>
      </c>
      <c r="O156" s="187" t="s">
        <v>1375</v>
      </c>
      <c r="P156" s="199" t="s">
        <v>1535</v>
      </c>
      <c r="Q156" s="15" t="s">
        <v>1692</v>
      </c>
      <c r="S156" s="214">
        <v>42485.440897141198</v>
      </c>
      <c r="T156" s="187" t="s">
        <v>1754</v>
      </c>
      <c r="U156" s="61" t="s">
        <v>723</v>
      </c>
      <c r="W156" s="61" t="s">
        <v>4625</v>
      </c>
      <c r="X156" s="61" t="s">
        <v>4615</v>
      </c>
      <c r="Y156" s="61" t="s">
        <v>124</v>
      </c>
    </row>
    <row r="157" spans="1:25" x14ac:dyDescent="0.25">
      <c r="A157" s="187" t="s">
        <v>746</v>
      </c>
      <c r="B157" s="61" t="s">
        <v>18</v>
      </c>
      <c r="C157" s="61" t="s">
        <v>181</v>
      </c>
      <c r="D157" s="199" t="s">
        <v>180</v>
      </c>
      <c r="E157" s="199" t="s">
        <v>991</v>
      </c>
      <c r="F157" s="199" t="s">
        <v>1098</v>
      </c>
      <c r="G157" s="199" t="s">
        <v>72</v>
      </c>
      <c r="H157" s="199" t="s">
        <v>1195</v>
      </c>
      <c r="I157" s="199" t="s">
        <v>1277</v>
      </c>
      <c r="J157" s="199" t="s">
        <v>882</v>
      </c>
      <c r="K157" s="212">
        <v>52008.58</v>
      </c>
      <c r="L157" s="183">
        <f t="shared" si="4"/>
        <v>13002.419999999998</v>
      </c>
      <c r="M157" s="213">
        <v>0</v>
      </c>
      <c r="N157" s="212">
        <v>65011</v>
      </c>
      <c r="O157" s="187" t="s">
        <v>1304</v>
      </c>
      <c r="P157" s="199" t="s">
        <v>1464</v>
      </c>
      <c r="Q157" s="15" t="s">
        <v>1624</v>
      </c>
      <c r="S157" s="214">
        <v>42571.382411886603</v>
      </c>
      <c r="T157" s="187" t="s">
        <v>1755</v>
      </c>
      <c r="U157" s="61" t="s">
        <v>723</v>
      </c>
      <c r="W157" s="61" t="s">
        <v>4625</v>
      </c>
      <c r="X157" s="61" t="s">
        <v>4615</v>
      </c>
      <c r="Y157" s="61" t="s">
        <v>124</v>
      </c>
    </row>
    <row r="158" spans="1:25" ht="30" x14ac:dyDescent="0.25">
      <c r="A158" s="187" t="s">
        <v>799</v>
      </c>
      <c r="B158" s="61" t="s">
        <v>18</v>
      </c>
      <c r="C158" s="61" t="s">
        <v>181</v>
      </c>
      <c r="D158" s="199" t="s">
        <v>4043</v>
      </c>
      <c r="E158" s="199" t="s">
        <v>4651</v>
      </c>
      <c r="F158" s="199" t="s">
        <v>4652</v>
      </c>
      <c r="G158" s="199" t="s">
        <v>72</v>
      </c>
      <c r="H158" s="199" t="s">
        <v>1237</v>
      </c>
      <c r="I158" s="199" t="s">
        <v>2284</v>
      </c>
      <c r="J158" s="199" t="s">
        <v>884</v>
      </c>
      <c r="K158" s="212">
        <v>3917.35</v>
      </c>
      <c r="L158" s="183">
        <f t="shared" si="4"/>
        <v>979.65000000000009</v>
      </c>
      <c r="M158" s="213">
        <v>0</v>
      </c>
      <c r="N158" s="212">
        <v>4897</v>
      </c>
      <c r="O158" s="187" t="s">
        <v>1362</v>
      </c>
      <c r="P158" s="199" t="s">
        <v>1522</v>
      </c>
      <c r="Q158" s="15" t="s">
        <v>1680</v>
      </c>
      <c r="S158" s="214">
        <v>42548.5135506597</v>
      </c>
      <c r="T158" s="187" t="s">
        <v>1755</v>
      </c>
      <c r="U158" s="61" t="s">
        <v>723</v>
      </c>
      <c r="W158" s="61" t="s">
        <v>4625</v>
      </c>
      <c r="X158" s="61" t="s">
        <v>4615</v>
      </c>
      <c r="Y158" s="61" t="s">
        <v>125</v>
      </c>
    </row>
    <row r="159" spans="1:25" ht="30" x14ac:dyDescent="0.25">
      <c r="A159" s="187" t="s">
        <v>799</v>
      </c>
      <c r="B159" s="61" t="s">
        <v>90</v>
      </c>
      <c r="C159" s="61" t="s">
        <v>181</v>
      </c>
      <c r="D159" s="199" t="s">
        <v>4043</v>
      </c>
      <c r="E159" s="199" t="s">
        <v>4651</v>
      </c>
      <c r="F159" s="199" t="s">
        <v>4652</v>
      </c>
      <c r="G159" s="199" t="s">
        <v>72</v>
      </c>
      <c r="H159" s="199" t="s">
        <v>1237</v>
      </c>
      <c r="I159" s="199" t="s">
        <v>1277</v>
      </c>
      <c r="J159" s="199" t="s">
        <v>876</v>
      </c>
      <c r="K159" s="212">
        <v>142772.13</v>
      </c>
      <c r="L159" s="183">
        <f t="shared" si="4"/>
        <v>35692.869999999995</v>
      </c>
      <c r="M159" s="213">
        <v>0</v>
      </c>
      <c r="N159" s="212">
        <v>178465</v>
      </c>
      <c r="O159" s="187" t="s">
        <v>1362</v>
      </c>
      <c r="P159" s="199" t="s">
        <v>1522</v>
      </c>
      <c r="Q159" s="15" t="s">
        <v>1680</v>
      </c>
      <c r="S159" s="214">
        <v>42548.5135506597</v>
      </c>
      <c r="T159" s="187" t="s">
        <v>1755</v>
      </c>
      <c r="U159" s="61" t="s">
        <v>723</v>
      </c>
      <c r="W159" s="61" t="s">
        <v>4625</v>
      </c>
      <c r="X159" s="61" t="s">
        <v>4615</v>
      </c>
      <c r="Y159" s="61" t="s">
        <v>125</v>
      </c>
    </row>
    <row r="160" spans="1:25" x14ac:dyDescent="0.25">
      <c r="A160" s="187" t="s">
        <v>793</v>
      </c>
      <c r="B160" s="61" t="s">
        <v>90</v>
      </c>
      <c r="C160" s="61" t="s">
        <v>2663</v>
      </c>
      <c r="D160" s="199" t="s">
        <v>137</v>
      </c>
      <c r="E160" s="199" t="s">
        <v>1027</v>
      </c>
      <c r="F160" s="199" t="s">
        <v>1137</v>
      </c>
      <c r="G160" s="199" t="s">
        <v>72</v>
      </c>
      <c r="H160" s="199" t="s">
        <v>1230</v>
      </c>
      <c r="I160" s="199" t="s">
        <v>2284</v>
      </c>
      <c r="J160" s="199" t="s">
        <v>890</v>
      </c>
      <c r="K160" s="212">
        <v>6227.78</v>
      </c>
      <c r="L160" s="183">
        <f t="shared" si="4"/>
        <v>1556.2200000000003</v>
      </c>
      <c r="M160" s="213">
        <v>0</v>
      </c>
      <c r="N160" s="212">
        <v>7784</v>
      </c>
      <c r="O160" s="187" t="s">
        <v>1353</v>
      </c>
      <c r="P160" s="199" t="s">
        <v>1513</v>
      </c>
      <c r="Q160" s="15" t="s">
        <v>1671</v>
      </c>
      <c r="S160" s="214">
        <v>42565.746946064799</v>
      </c>
      <c r="T160" s="187" t="s">
        <v>1754</v>
      </c>
      <c r="U160" s="61" t="s">
        <v>723</v>
      </c>
      <c r="W160" s="61" t="s">
        <v>4616</v>
      </c>
      <c r="X160" s="61" t="s">
        <v>4617</v>
      </c>
      <c r="Y160" s="61" t="s">
        <v>125</v>
      </c>
    </row>
    <row r="161" spans="1:25" x14ac:dyDescent="0.25">
      <c r="A161" s="187" t="s">
        <v>814</v>
      </c>
      <c r="B161" s="61" t="s">
        <v>18</v>
      </c>
      <c r="C161" s="61" t="s">
        <v>2663</v>
      </c>
      <c r="D161" s="199" t="s">
        <v>137</v>
      </c>
      <c r="E161" s="199" t="s">
        <v>1044</v>
      </c>
      <c r="F161" s="199" t="s">
        <v>1155</v>
      </c>
      <c r="G161" s="199" t="s">
        <v>72</v>
      </c>
      <c r="H161" s="199" t="s">
        <v>1249</v>
      </c>
      <c r="I161" s="199" t="s">
        <v>1274</v>
      </c>
      <c r="J161" s="199" t="s">
        <v>875</v>
      </c>
      <c r="K161" s="212">
        <v>97002.97</v>
      </c>
      <c r="L161" s="183">
        <f t="shared" si="4"/>
        <v>24251.03</v>
      </c>
      <c r="M161" s="213">
        <v>0</v>
      </c>
      <c r="N161" s="212">
        <v>121254</v>
      </c>
      <c r="O161" s="187" t="s">
        <v>1382</v>
      </c>
      <c r="P161" s="199" t="s">
        <v>1542</v>
      </c>
      <c r="Q161" s="15" t="s">
        <v>1699</v>
      </c>
      <c r="S161" s="214">
        <v>42403.446280289398</v>
      </c>
      <c r="T161" s="187" t="s">
        <v>1754</v>
      </c>
      <c r="U161" s="61" t="s">
        <v>723</v>
      </c>
      <c r="W161" s="61" t="s">
        <v>82</v>
      </c>
      <c r="X161" s="61" t="s">
        <v>4615</v>
      </c>
      <c r="Y161" s="61" t="s">
        <v>126</v>
      </c>
    </row>
    <row r="162" spans="1:25" x14ac:dyDescent="0.25">
      <c r="A162" s="187" t="s">
        <v>792</v>
      </c>
      <c r="B162" s="61" t="s">
        <v>90</v>
      </c>
      <c r="C162" s="61" t="s">
        <v>2663</v>
      </c>
      <c r="D162" s="199" t="s">
        <v>947</v>
      </c>
      <c r="E162" s="199" t="s">
        <v>1026</v>
      </c>
      <c r="F162" s="199" t="s">
        <v>1136</v>
      </c>
      <c r="G162" s="199" t="s">
        <v>72</v>
      </c>
      <c r="H162" s="199" t="s">
        <v>1221</v>
      </c>
      <c r="I162" s="199" t="s">
        <v>1275</v>
      </c>
      <c r="J162" s="199" t="s">
        <v>870</v>
      </c>
      <c r="K162" s="212">
        <v>83601.31</v>
      </c>
      <c r="L162" s="183">
        <f t="shared" ref="L162:L189" si="5">N162-K162</f>
        <v>47025.69</v>
      </c>
      <c r="M162" s="213">
        <v>0</v>
      </c>
      <c r="N162" s="212">
        <v>130627</v>
      </c>
      <c r="O162" s="187" t="s">
        <v>1352</v>
      </c>
      <c r="P162" s="199" t="s">
        <v>1512</v>
      </c>
      <c r="Q162" s="15" t="s">
        <v>1670</v>
      </c>
      <c r="S162" s="214">
        <v>42467.733959027799</v>
      </c>
      <c r="T162" s="187" t="s">
        <v>1754</v>
      </c>
      <c r="U162" s="61" t="s">
        <v>723</v>
      </c>
      <c r="W162" s="61" t="s">
        <v>4625</v>
      </c>
      <c r="X162" s="61" t="s">
        <v>4615</v>
      </c>
      <c r="Y162" s="61" t="s">
        <v>125</v>
      </c>
    </row>
    <row r="163" spans="1:25" x14ac:dyDescent="0.25">
      <c r="A163" s="187" t="s">
        <v>826</v>
      </c>
      <c r="B163" s="61" t="s">
        <v>18</v>
      </c>
      <c r="C163" s="61" t="s">
        <v>2663</v>
      </c>
      <c r="D163" s="199" t="s">
        <v>137</v>
      </c>
      <c r="E163" s="199" t="s">
        <v>447</v>
      </c>
      <c r="F163" s="199" t="s">
        <v>4653</v>
      </c>
      <c r="G163" s="199" t="s">
        <v>72</v>
      </c>
      <c r="H163" s="199" t="s">
        <v>1257</v>
      </c>
      <c r="I163" s="199" t="s">
        <v>4630</v>
      </c>
      <c r="J163" s="199" t="s">
        <v>905</v>
      </c>
      <c r="K163" s="212">
        <v>19028.23</v>
      </c>
      <c r="L163" s="183">
        <f t="shared" si="5"/>
        <v>16651.77</v>
      </c>
      <c r="M163" s="213">
        <v>0</v>
      </c>
      <c r="N163" s="212">
        <v>35680</v>
      </c>
      <c r="O163" s="187" t="s">
        <v>1396</v>
      </c>
      <c r="P163" s="199" t="s">
        <v>1556</v>
      </c>
      <c r="Q163" s="15" t="s">
        <v>1713</v>
      </c>
      <c r="S163" s="214">
        <v>42584.469717164298</v>
      </c>
      <c r="T163" s="187" t="s">
        <v>1754</v>
      </c>
      <c r="U163" s="61" t="s">
        <v>723</v>
      </c>
      <c r="W163" s="61" t="s">
        <v>4621</v>
      </c>
      <c r="X163" s="61" t="s">
        <v>4615</v>
      </c>
      <c r="Y163" s="61" t="s">
        <v>124</v>
      </c>
    </row>
    <row r="164" spans="1:25" x14ac:dyDescent="0.25">
      <c r="A164" s="187" t="s">
        <v>754</v>
      </c>
      <c r="B164" s="61" t="s">
        <v>90</v>
      </c>
      <c r="C164" s="61" t="s">
        <v>2663</v>
      </c>
      <c r="D164" s="199" t="s">
        <v>603</v>
      </c>
      <c r="E164" s="199" t="s">
        <v>999</v>
      </c>
      <c r="F164" s="199" t="s">
        <v>1107</v>
      </c>
      <c r="G164" s="199" t="s">
        <v>72</v>
      </c>
      <c r="H164" s="199" t="s">
        <v>1216</v>
      </c>
      <c r="I164" s="199" t="s">
        <v>1274</v>
      </c>
      <c r="J164" s="199" t="s">
        <v>875</v>
      </c>
      <c r="K164" s="212">
        <v>560</v>
      </c>
      <c r="L164" s="183">
        <f t="shared" si="5"/>
        <v>140</v>
      </c>
      <c r="M164" s="213">
        <v>0</v>
      </c>
      <c r="N164" s="212">
        <v>700</v>
      </c>
      <c r="O164" s="187" t="s">
        <v>1313</v>
      </c>
      <c r="P164" s="199" t="s">
        <v>1473</v>
      </c>
      <c r="Q164" s="15" t="s">
        <v>1633</v>
      </c>
      <c r="S164" s="214">
        <v>42384.364190277804</v>
      </c>
      <c r="T164" s="187" t="s">
        <v>1754</v>
      </c>
      <c r="U164" s="61" t="s">
        <v>723</v>
      </c>
      <c r="W164" s="61" t="s">
        <v>4625</v>
      </c>
      <c r="X164" s="61" t="s">
        <v>4615</v>
      </c>
      <c r="Y164" s="61" t="s">
        <v>125</v>
      </c>
    </row>
    <row r="165" spans="1:25" x14ac:dyDescent="0.25">
      <c r="A165" s="187" t="s">
        <v>235</v>
      </c>
      <c r="B165" s="61" t="s">
        <v>90</v>
      </c>
      <c r="C165" s="61" t="s">
        <v>2663</v>
      </c>
      <c r="D165" s="199" t="s">
        <v>236</v>
      </c>
      <c r="E165" s="199" t="s">
        <v>233</v>
      </c>
      <c r="F165" s="199" t="s">
        <v>4673</v>
      </c>
      <c r="G165" s="199" t="s">
        <v>1191</v>
      </c>
      <c r="H165" s="199" t="s">
        <v>1196</v>
      </c>
      <c r="I165" s="199" t="s">
        <v>1275</v>
      </c>
      <c r="J165" s="199" t="s">
        <v>873</v>
      </c>
      <c r="K165" s="212">
        <v>2985959</v>
      </c>
      <c r="L165" s="183">
        <f t="shared" si="5"/>
        <v>483181</v>
      </c>
      <c r="M165" s="213">
        <v>0</v>
      </c>
      <c r="N165" s="212">
        <v>3469140</v>
      </c>
      <c r="O165" s="187" t="s">
        <v>1287</v>
      </c>
      <c r="P165" s="199" t="s">
        <v>1447</v>
      </c>
      <c r="Q165" s="15" t="s">
        <v>1607</v>
      </c>
      <c r="S165" s="214">
        <v>42636.513564386602</v>
      </c>
      <c r="T165" s="187" t="s">
        <v>1755</v>
      </c>
      <c r="U165" s="61" t="s">
        <v>723</v>
      </c>
      <c r="W165" s="61" t="s">
        <v>4624</v>
      </c>
      <c r="X165" s="61" t="s">
        <v>4615</v>
      </c>
      <c r="Y165" s="61" t="s">
        <v>125</v>
      </c>
    </row>
    <row r="166" spans="1:25" x14ac:dyDescent="0.25">
      <c r="A166" s="187" t="s">
        <v>851</v>
      </c>
      <c r="B166" s="61" t="s">
        <v>18</v>
      </c>
      <c r="C166" s="61" t="s">
        <v>2663</v>
      </c>
      <c r="D166" s="199" t="s">
        <v>938</v>
      </c>
      <c r="E166" s="199" t="s">
        <v>1070</v>
      </c>
      <c r="F166" s="199" t="s">
        <v>1184</v>
      </c>
      <c r="G166" s="199" t="s">
        <v>193</v>
      </c>
      <c r="H166" s="199" t="s">
        <v>1259</v>
      </c>
      <c r="I166" s="199" t="s">
        <v>1274</v>
      </c>
      <c r="J166" s="199" t="s">
        <v>875</v>
      </c>
      <c r="K166" s="212">
        <v>5162</v>
      </c>
      <c r="L166" s="183">
        <f t="shared" si="5"/>
        <v>1291</v>
      </c>
      <c r="M166" s="213">
        <v>0</v>
      </c>
      <c r="N166" s="212">
        <v>6453</v>
      </c>
      <c r="O166" s="187" t="s">
        <v>1429</v>
      </c>
      <c r="P166" s="199" t="s">
        <v>1589</v>
      </c>
      <c r="Q166" s="15" t="s">
        <v>1744</v>
      </c>
      <c r="S166" s="214">
        <v>42340.372382175898</v>
      </c>
      <c r="T166" s="187" t="s">
        <v>1755</v>
      </c>
      <c r="U166" s="61" t="s">
        <v>723</v>
      </c>
      <c r="W166" s="61" t="s">
        <v>4625</v>
      </c>
      <c r="X166" s="61" t="s">
        <v>4615</v>
      </c>
      <c r="Y166" s="61" t="s">
        <v>124</v>
      </c>
    </row>
    <row r="167" spans="1:25" x14ac:dyDescent="0.25">
      <c r="A167" s="187" t="s">
        <v>771</v>
      </c>
      <c r="B167" s="61" t="s">
        <v>90</v>
      </c>
      <c r="C167" s="61" t="s">
        <v>2663</v>
      </c>
      <c r="D167" s="199" t="s">
        <v>938</v>
      </c>
      <c r="E167" s="199" t="s">
        <v>35</v>
      </c>
      <c r="F167" s="199" t="s">
        <v>1117</v>
      </c>
      <c r="G167" s="199" t="s">
        <v>72</v>
      </c>
      <c r="H167" s="199" t="s">
        <v>1222</v>
      </c>
      <c r="I167" s="199" t="s">
        <v>1274</v>
      </c>
      <c r="J167" s="199" t="s">
        <v>868</v>
      </c>
      <c r="K167" s="212">
        <v>64709</v>
      </c>
      <c r="L167" s="183">
        <f t="shared" si="5"/>
        <v>16177</v>
      </c>
      <c r="M167" s="213">
        <v>0</v>
      </c>
      <c r="N167" s="212">
        <v>80886</v>
      </c>
      <c r="O167" s="187" t="s">
        <v>1330</v>
      </c>
      <c r="P167" s="199" t="s">
        <v>1490</v>
      </c>
      <c r="Q167" s="15" t="s">
        <v>1650</v>
      </c>
      <c r="S167" s="214">
        <v>42509.619167592602</v>
      </c>
      <c r="T167" s="187" t="s">
        <v>1755</v>
      </c>
      <c r="U167" s="61" t="s">
        <v>723</v>
      </c>
      <c r="W167" s="61" t="s">
        <v>4625</v>
      </c>
      <c r="X167" s="61" t="s">
        <v>4615</v>
      </c>
      <c r="Y167" s="61" t="s">
        <v>124</v>
      </c>
    </row>
    <row r="168" spans="1:25" x14ac:dyDescent="0.25">
      <c r="A168" s="187" t="s">
        <v>858</v>
      </c>
      <c r="B168" s="61" t="s">
        <v>90</v>
      </c>
      <c r="C168" s="61" t="s">
        <v>2663</v>
      </c>
      <c r="D168" s="199" t="s">
        <v>938</v>
      </c>
      <c r="E168" s="199" t="s">
        <v>4682</v>
      </c>
      <c r="F168" s="199" t="s">
        <v>1187</v>
      </c>
      <c r="G168" s="199" t="s">
        <v>1192</v>
      </c>
      <c r="H168" s="199" t="s">
        <v>1247</v>
      </c>
      <c r="I168" s="199" t="s">
        <v>1277</v>
      </c>
      <c r="J168" s="199" t="s">
        <v>872</v>
      </c>
      <c r="K168" s="212">
        <v>29930</v>
      </c>
      <c r="L168" s="183">
        <f t="shared" si="5"/>
        <v>7483</v>
      </c>
      <c r="M168" s="213">
        <v>0</v>
      </c>
      <c r="N168" s="212">
        <v>37413</v>
      </c>
      <c r="O168" s="187" t="s">
        <v>1436</v>
      </c>
      <c r="P168" s="199" t="s">
        <v>1596</v>
      </c>
      <c r="Q168" s="15" t="s">
        <v>1751</v>
      </c>
      <c r="S168" s="214">
        <v>42607.704705439799</v>
      </c>
      <c r="T168" s="187" t="s">
        <v>1755</v>
      </c>
      <c r="U168" s="61" t="s">
        <v>723</v>
      </c>
      <c r="W168" s="61" t="s">
        <v>4625</v>
      </c>
      <c r="X168" s="61" t="s">
        <v>4615</v>
      </c>
      <c r="Y168" s="61" t="s">
        <v>125</v>
      </c>
    </row>
    <row r="169" spans="1:25" x14ac:dyDescent="0.25">
      <c r="A169" s="187" t="s">
        <v>820</v>
      </c>
      <c r="B169" s="61" t="s">
        <v>18</v>
      </c>
      <c r="C169" s="61" t="s">
        <v>2663</v>
      </c>
      <c r="D169" s="199" t="s">
        <v>607</v>
      </c>
      <c r="E169" s="199" t="s">
        <v>1048</v>
      </c>
      <c r="F169" s="199" t="s">
        <v>1159</v>
      </c>
      <c r="G169" s="199" t="s">
        <v>72</v>
      </c>
      <c r="H169" s="199" t="s">
        <v>1253</v>
      </c>
      <c r="I169" s="199" t="s">
        <v>2284</v>
      </c>
      <c r="J169" s="199" t="s">
        <v>884</v>
      </c>
      <c r="K169" s="212">
        <v>28000</v>
      </c>
      <c r="L169" s="183">
        <f t="shared" si="5"/>
        <v>7000</v>
      </c>
      <c r="M169" s="213">
        <v>0</v>
      </c>
      <c r="N169" s="212">
        <v>35000</v>
      </c>
      <c r="O169" s="187" t="s">
        <v>1389</v>
      </c>
      <c r="P169" s="199" t="s">
        <v>1549</v>
      </c>
      <c r="Q169" s="15" t="s">
        <v>1706</v>
      </c>
      <c r="S169" s="214">
        <v>42495.412346874997</v>
      </c>
      <c r="T169" s="187" t="s">
        <v>1755</v>
      </c>
      <c r="U169" s="61" t="s">
        <v>723</v>
      </c>
      <c r="W169" s="61" t="s">
        <v>4616</v>
      </c>
      <c r="X169" s="61" t="s">
        <v>4617</v>
      </c>
      <c r="Y169" s="61" t="s">
        <v>126</v>
      </c>
    </row>
    <row r="170" spans="1:25" x14ac:dyDescent="0.25">
      <c r="A170" s="215" t="s">
        <v>215</v>
      </c>
      <c r="B170" s="61" t="s">
        <v>90</v>
      </c>
      <c r="C170" s="61" t="s">
        <v>2663</v>
      </c>
      <c r="D170" s="199" t="s">
        <v>4663</v>
      </c>
      <c r="E170" s="199" t="s">
        <v>1028</v>
      </c>
      <c r="F170" s="199" t="s">
        <v>218</v>
      </c>
      <c r="G170" s="199" t="s">
        <v>72</v>
      </c>
      <c r="H170" s="199" t="s">
        <v>1235</v>
      </c>
      <c r="I170" s="199" t="s">
        <v>2284</v>
      </c>
      <c r="J170" s="199" t="s">
        <v>892</v>
      </c>
      <c r="K170" s="212">
        <v>38768</v>
      </c>
      <c r="L170" s="183">
        <f t="shared" si="5"/>
        <v>33967</v>
      </c>
      <c r="M170" s="213">
        <v>0</v>
      </c>
      <c r="N170" s="212">
        <v>72735</v>
      </c>
      <c r="O170" s="187" t="s">
        <v>1359</v>
      </c>
      <c r="P170" s="199" t="s">
        <v>1519</v>
      </c>
      <c r="Q170" s="15" t="s">
        <v>1677</v>
      </c>
      <c r="S170" s="214">
        <v>42352.682749039297</v>
      </c>
      <c r="T170" s="187" t="s">
        <v>1755</v>
      </c>
      <c r="U170" s="61" t="s">
        <v>723</v>
      </c>
      <c r="W170" s="61" t="s">
        <v>4624</v>
      </c>
      <c r="X170" s="61" t="s">
        <v>4615</v>
      </c>
      <c r="Y170" s="61" t="s">
        <v>125</v>
      </c>
    </row>
    <row r="171" spans="1:25" x14ac:dyDescent="0.25">
      <c r="A171" s="187" t="s">
        <v>848</v>
      </c>
      <c r="B171" s="61" t="s">
        <v>18</v>
      </c>
      <c r="C171" s="61" t="s">
        <v>2663</v>
      </c>
      <c r="D171" s="199" t="s">
        <v>971</v>
      </c>
      <c r="E171" s="199" t="s">
        <v>1067</v>
      </c>
      <c r="F171" s="199" t="s">
        <v>1117</v>
      </c>
      <c r="G171" s="199" t="s">
        <v>193</v>
      </c>
      <c r="H171" s="199" t="s">
        <v>1247</v>
      </c>
      <c r="I171" s="199" t="s">
        <v>1277</v>
      </c>
      <c r="J171" s="199" t="s">
        <v>900</v>
      </c>
      <c r="K171" s="212">
        <v>3624</v>
      </c>
      <c r="L171" s="183">
        <f t="shared" si="5"/>
        <v>906</v>
      </c>
      <c r="M171" s="213">
        <v>0</v>
      </c>
      <c r="N171" s="212">
        <v>4530</v>
      </c>
      <c r="O171" s="187" t="s">
        <v>1426</v>
      </c>
      <c r="P171" s="199" t="s">
        <v>1586</v>
      </c>
      <c r="Q171" s="15" t="s">
        <v>1741</v>
      </c>
      <c r="S171" s="214">
        <v>42397.372215740703</v>
      </c>
      <c r="T171" s="187" t="s">
        <v>1755</v>
      </c>
      <c r="U171" s="61" t="s">
        <v>723</v>
      </c>
      <c r="W171" s="61" t="s">
        <v>4625</v>
      </c>
      <c r="X171" s="61" t="s">
        <v>4615</v>
      </c>
      <c r="Y171" s="61" t="s">
        <v>125</v>
      </c>
    </row>
    <row r="172" spans="1:25" x14ac:dyDescent="0.25">
      <c r="A172" s="187" t="s">
        <v>848</v>
      </c>
      <c r="B172" s="61" t="s">
        <v>18</v>
      </c>
      <c r="C172" s="61" t="s">
        <v>2663</v>
      </c>
      <c r="D172" s="199" t="s">
        <v>971</v>
      </c>
      <c r="E172" s="199" t="s">
        <v>1067</v>
      </c>
      <c r="F172" s="199" t="s">
        <v>1117</v>
      </c>
      <c r="G172" s="199" t="s">
        <v>193</v>
      </c>
      <c r="H172" s="199" t="s">
        <v>1247</v>
      </c>
      <c r="I172" s="199" t="s">
        <v>1277</v>
      </c>
      <c r="J172" s="199" t="s">
        <v>900</v>
      </c>
      <c r="K172" s="212">
        <v>18163</v>
      </c>
      <c r="L172" s="183">
        <f t="shared" si="5"/>
        <v>4541</v>
      </c>
      <c r="M172" s="213">
        <v>0</v>
      </c>
      <c r="N172" s="212">
        <v>22704</v>
      </c>
      <c r="O172" s="187" t="s">
        <v>1426</v>
      </c>
      <c r="P172" s="199" t="s">
        <v>1586</v>
      </c>
      <c r="Q172" s="15" t="s">
        <v>1741</v>
      </c>
      <c r="S172" s="214">
        <v>42318.534565972201</v>
      </c>
      <c r="T172" s="187" t="s">
        <v>1755</v>
      </c>
      <c r="U172" s="61" t="s">
        <v>723</v>
      </c>
      <c r="W172" s="61" t="s">
        <v>4625</v>
      </c>
      <c r="X172" s="61" t="s">
        <v>4615</v>
      </c>
      <c r="Y172" s="61" t="s">
        <v>125</v>
      </c>
    </row>
    <row r="173" spans="1:25" ht="30" x14ac:dyDescent="0.25">
      <c r="A173" s="187" t="s">
        <v>743</v>
      </c>
      <c r="B173" s="61" t="s">
        <v>18</v>
      </c>
      <c r="C173" s="61" t="s">
        <v>2663</v>
      </c>
      <c r="D173" s="199" t="s">
        <v>925</v>
      </c>
      <c r="E173" s="199" t="s">
        <v>988</v>
      </c>
      <c r="F173" s="199" t="s">
        <v>1095</v>
      </c>
      <c r="G173" s="199" t="s">
        <v>72</v>
      </c>
      <c r="H173" s="199" t="s">
        <v>1208</v>
      </c>
      <c r="I173" s="199" t="s">
        <v>1278</v>
      </c>
      <c r="J173" s="199" t="s">
        <v>881</v>
      </c>
      <c r="K173" s="212">
        <v>5822.23</v>
      </c>
      <c r="L173" s="183">
        <f t="shared" si="5"/>
        <v>-0.22999999999956344</v>
      </c>
      <c r="M173" s="213">
        <v>0</v>
      </c>
      <c r="N173" s="212">
        <v>5822</v>
      </c>
      <c r="O173" s="187" t="s">
        <v>1300</v>
      </c>
      <c r="P173" s="199" t="s">
        <v>1460</v>
      </c>
      <c r="Q173" s="15" t="s">
        <v>1620</v>
      </c>
      <c r="S173" s="214">
        <v>42542.633645682901</v>
      </c>
      <c r="T173" s="187" t="s">
        <v>1755</v>
      </c>
      <c r="U173" s="61" t="s">
        <v>723</v>
      </c>
      <c r="W173" s="61" t="s">
        <v>4616</v>
      </c>
      <c r="X173" s="61" t="s">
        <v>4617</v>
      </c>
      <c r="Y173" s="61" t="s">
        <v>126</v>
      </c>
    </row>
    <row r="174" spans="1:25" x14ac:dyDescent="0.25">
      <c r="A174" s="187" t="s">
        <v>765</v>
      </c>
      <c r="B174" s="61" t="s">
        <v>18</v>
      </c>
      <c r="C174" s="61" t="s">
        <v>2663</v>
      </c>
      <c r="D174" s="199" t="s">
        <v>282</v>
      </c>
      <c r="E174" s="199" t="s">
        <v>1005</v>
      </c>
      <c r="F174" s="199" t="s">
        <v>1113</v>
      </c>
      <c r="G174" s="199" t="s">
        <v>72</v>
      </c>
      <c r="H174" s="199" t="s">
        <v>2609</v>
      </c>
      <c r="I174" s="199" t="s">
        <v>1274</v>
      </c>
      <c r="J174" s="199" t="s">
        <v>875</v>
      </c>
      <c r="K174" s="212">
        <v>18040.22</v>
      </c>
      <c r="L174" s="183">
        <f t="shared" si="5"/>
        <v>4509.7799999999988</v>
      </c>
      <c r="M174" s="213">
        <v>0</v>
      </c>
      <c r="N174" s="212">
        <v>22550</v>
      </c>
      <c r="O174" s="187" t="s">
        <v>1324</v>
      </c>
      <c r="P174" s="199" t="s">
        <v>1484</v>
      </c>
      <c r="Q174" s="15" t="s">
        <v>1644</v>
      </c>
      <c r="S174" s="214">
        <v>42374.709375578699</v>
      </c>
      <c r="T174" s="187" t="s">
        <v>1754</v>
      </c>
      <c r="U174" s="61" t="s">
        <v>723</v>
      </c>
      <c r="W174" s="61" t="s">
        <v>225</v>
      </c>
      <c r="X174" s="61" t="s">
        <v>4615</v>
      </c>
      <c r="Y174" s="61" t="s">
        <v>125</v>
      </c>
    </row>
    <row r="175" spans="1:25" x14ac:dyDescent="0.25">
      <c r="A175" s="187" t="s">
        <v>795</v>
      </c>
      <c r="B175" s="61" t="s">
        <v>90</v>
      </c>
      <c r="C175" s="61" t="s">
        <v>2663</v>
      </c>
      <c r="D175" s="199" t="s">
        <v>4662</v>
      </c>
      <c r="E175" s="199" t="s">
        <v>1028</v>
      </c>
      <c r="F175" s="199" t="s">
        <v>41</v>
      </c>
      <c r="G175" s="199" t="s">
        <v>72</v>
      </c>
      <c r="H175" s="199" t="s">
        <v>1232</v>
      </c>
      <c r="I175" s="199" t="s">
        <v>1275</v>
      </c>
      <c r="J175" s="199" t="s">
        <v>870</v>
      </c>
      <c r="K175" s="212">
        <v>51450.02</v>
      </c>
      <c r="L175" s="183">
        <f t="shared" si="5"/>
        <v>12862.980000000003</v>
      </c>
      <c r="M175" s="213">
        <v>0</v>
      </c>
      <c r="N175" s="212">
        <v>64313</v>
      </c>
      <c r="O175" s="187" t="s">
        <v>1356</v>
      </c>
      <c r="P175" s="199" t="s">
        <v>1516</v>
      </c>
      <c r="Q175" s="15" t="s">
        <v>1674</v>
      </c>
      <c r="S175" s="214">
        <v>42496.645003044003</v>
      </c>
      <c r="T175" s="187" t="s">
        <v>1755</v>
      </c>
      <c r="U175" s="61" t="s">
        <v>723</v>
      </c>
      <c r="W175" s="61" t="s">
        <v>1849</v>
      </c>
      <c r="X175" s="61" t="s">
        <v>4615</v>
      </c>
      <c r="Y175" s="61" t="s">
        <v>124</v>
      </c>
    </row>
    <row r="176" spans="1:25" ht="30" x14ac:dyDescent="0.25">
      <c r="A176" s="187" t="s">
        <v>788</v>
      </c>
      <c r="B176" s="61" t="s">
        <v>90</v>
      </c>
      <c r="C176" s="61" t="s">
        <v>2663</v>
      </c>
      <c r="D176" s="199" t="s">
        <v>945</v>
      </c>
      <c r="E176" s="199" t="s">
        <v>1023</v>
      </c>
      <c r="F176" s="199" t="s">
        <v>1132</v>
      </c>
      <c r="G176" s="199" t="s">
        <v>72</v>
      </c>
      <c r="H176" s="199" t="s">
        <v>1228</v>
      </c>
      <c r="I176" s="61" t="s">
        <v>4636</v>
      </c>
      <c r="J176" s="199" t="s">
        <v>894</v>
      </c>
      <c r="K176" s="212">
        <v>3073864.19</v>
      </c>
      <c r="L176" s="183">
        <f t="shared" si="5"/>
        <v>341540.81000000006</v>
      </c>
      <c r="M176" s="213">
        <v>0</v>
      </c>
      <c r="N176" s="212">
        <v>3415405</v>
      </c>
      <c r="O176" s="187" t="s">
        <v>1348</v>
      </c>
      <c r="P176" s="199" t="s">
        <v>1508</v>
      </c>
      <c r="Q176" s="15" t="s">
        <v>1666</v>
      </c>
      <c r="S176" s="214">
        <v>42607.704498032399</v>
      </c>
      <c r="T176" s="187" t="s">
        <v>1755</v>
      </c>
      <c r="U176" s="61" t="s">
        <v>723</v>
      </c>
      <c r="W176" s="61" t="s">
        <v>4624</v>
      </c>
      <c r="X176" s="61" t="s">
        <v>4615</v>
      </c>
      <c r="Y176" s="61" t="s">
        <v>124</v>
      </c>
    </row>
    <row r="177" spans="1:25" x14ac:dyDescent="0.25">
      <c r="A177" s="187" t="s">
        <v>809</v>
      </c>
      <c r="B177" s="61" t="s">
        <v>90</v>
      </c>
      <c r="C177" s="61" t="s">
        <v>2663</v>
      </c>
      <c r="D177" s="199" t="s">
        <v>955</v>
      </c>
      <c r="E177" s="199" t="s">
        <v>1040</v>
      </c>
      <c r="F177" s="199" t="s">
        <v>1150</v>
      </c>
      <c r="G177" s="199" t="s">
        <v>72</v>
      </c>
      <c r="H177" s="199" t="s">
        <v>1235</v>
      </c>
      <c r="I177" s="199" t="s">
        <v>4629</v>
      </c>
      <c r="J177" s="199" t="s">
        <v>891</v>
      </c>
      <c r="K177" s="212">
        <v>3816.48</v>
      </c>
      <c r="L177" s="183">
        <f t="shared" si="5"/>
        <v>954.52</v>
      </c>
      <c r="M177" s="213">
        <v>0</v>
      </c>
      <c r="N177" s="212">
        <v>4771</v>
      </c>
      <c r="O177" s="187" t="s">
        <v>1376</v>
      </c>
      <c r="P177" s="199" t="s">
        <v>1536</v>
      </c>
      <c r="Q177" s="15" t="s">
        <v>1693</v>
      </c>
      <c r="S177" s="214">
        <v>42445.639567939797</v>
      </c>
      <c r="T177" s="187" t="s">
        <v>1754</v>
      </c>
      <c r="U177" s="61" t="s">
        <v>723</v>
      </c>
      <c r="W177" s="61" t="s">
        <v>624</v>
      </c>
      <c r="X177" s="61" t="s">
        <v>4615</v>
      </c>
      <c r="Y177" s="61" t="s">
        <v>124</v>
      </c>
    </row>
    <row r="178" spans="1:25" x14ac:dyDescent="0.25">
      <c r="A178" s="187" t="s">
        <v>773</v>
      </c>
      <c r="B178" s="61" t="s">
        <v>90</v>
      </c>
      <c r="C178" s="61" t="s">
        <v>648</v>
      </c>
      <c r="D178" s="199" t="s">
        <v>137</v>
      </c>
      <c r="E178" s="199" t="s">
        <v>233</v>
      </c>
      <c r="F178" s="199" t="s">
        <v>1119</v>
      </c>
      <c r="G178" s="199" t="s">
        <v>72</v>
      </c>
      <c r="H178" s="199" t="s">
        <v>2791</v>
      </c>
      <c r="I178" s="199" t="s">
        <v>2284</v>
      </c>
      <c r="J178" s="199" t="s">
        <v>890</v>
      </c>
      <c r="K178" s="212">
        <v>91802.49</v>
      </c>
      <c r="L178" s="183">
        <f t="shared" si="5"/>
        <v>22950.509999999995</v>
      </c>
      <c r="M178" s="213">
        <v>0</v>
      </c>
      <c r="N178" s="212">
        <v>114753</v>
      </c>
      <c r="O178" s="187" t="s">
        <v>1332</v>
      </c>
      <c r="P178" s="199" t="s">
        <v>1492</v>
      </c>
      <c r="Q178" s="15" t="s">
        <v>1652</v>
      </c>
      <c r="S178" s="214">
        <v>42432.743617013897</v>
      </c>
      <c r="T178" s="187" t="s">
        <v>1754</v>
      </c>
      <c r="U178" s="61" t="s">
        <v>723</v>
      </c>
      <c r="W178" s="61" t="s">
        <v>4683</v>
      </c>
      <c r="X178" s="61" t="s">
        <v>4619</v>
      </c>
      <c r="Y178" s="61" t="s">
        <v>124</v>
      </c>
    </row>
    <row r="179" spans="1:25" x14ac:dyDescent="0.25">
      <c r="A179" s="187" t="s">
        <v>810</v>
      </c>
      <c r="B179" s="61" t="s">
        <v>90</v>
      </c>
      <c r="C179" s="61" t="s">
        <v>4614</v>
      </c>
      <c r="D179" s="199" t="s">
        <v>239</v>
      </c>
      <c r="E179" s="199" t="s">
        <v>994</v>
      </c>
      <c r="F179" s="199" t="s">
        <v>1151</v>
      </c>
      <c r="G179" s="199" t="s">
        <v>72</v>
      </c>
      <c r="H179" s="199" t="s">
        <v>2791</v>
      </c>
      <c r="I179" s="199" t="s">
        <v>4687</v>
      </c>
      <c r="J179" s="199" t="s">
        <v>895</v>
      </c>
      <c r="K179" s="212">
        <v>56351.28</v>
      </c>
      <c r="L179" s="183">
        <f t="shared" si="5"/>
        <v>-0.27999999999883585</v>
      </c>
      <c r="M179" s="213">
        <v>0</v>
      </c>
      <c r="N179" s="212">
        <v>56351</v>
      </c>
      <c r="O179" s="187" t="s">
        <v>1377</v>
      </c>
      <c r="P179" s="199" t="s">
        <v>1537</v>
      </c>
      <c r="Q179" s="15" t="s">
        <v>1694</v>
      </c>
      <c r="S179" s="214">
        <v>42571.544652465302</v>
      </c>
      <c r="T179" s="187" t="s">
        <v>1755</v>
      </c>
      <c r="U179" s="61" t="s">
        <v>723</v>
      </c>
      <c r="W179" s="61" t="s">
        <v>624</v>
      </c>
      <c r="X179" s="61" t="s">
        <v>1849</v>
      </c>
      <c r="Y179" s="61" t="s">
        <v>125</v>
      </c>
    </row>
    <row r="180" spans="1:25" x14ac:dyDescent="0.25">
      <c r="A180" s="187" t="s">
        <v>789</v>
      </c>
      <c r="B180" s="61" t="s">
        <v>90</v>
      </c>
      <c r="C180" s="61" t="s">
        <v>2815</v>
      </c>
      <c r="D180" s="199" t="s">
        <v>4684</v>
      </c>
      <c r="E180" s="199" t="s">
        <v>998</v>
      </c>
      <c r="F180" s="199" t="s">
        <v>1133</v>
      </c>
      <c r="G180" s="199" t="s">
        <v>72</v>
      </c>
      <c r="H180" s="199" t="s">
        <v>2791</v>
      </c>
      <c r="I180" s="61" t="s">
        <v>4635</v>
      </c>
      <c r="J180" s="199" t="s">
        <v>896</v>
      </c>
      <c r="K180" s="212">
        <v>133737.96</v>
      </c>
      <c r="L180" s="183">
        <f t="shared" si="5"/>
        <v>0</v>
      </c>
      <c r="M180" s="213">
        <v>0</v>
      </c>
      <c r="N180" s="212">
        <v>133737.96</v>
      </c>
      <c r="O180" s="187" t="s">
        <v>1349</v>
      </c>
      <c r="P180" s="199" t="s">
        <v>1509</v>
      </c>
      <c r="Q180" s="15" t="s">
        <v>1667</v>
      </c>
      <c r="S180" s="214">
        <v>42466.619227893498</v>
      </c>
      <c r="T180" s="187" t="s">
        <v>1755</v>
      </c>
      <c r="U180" s="61" t="s">
        <v>723</v>
      </c>
      <c r="W180" s="61" t="s">
        <v>624</v>
      </c>
      <c r="X180" s="61" t="s">
        <v>4615</v>
      </c>
      <c r="Y180" s="61" t="s">
        <v>124</v>
      </c>
    </row>
    <row r="181" spans="1:25" x14ac:dyDescent="0.25">
      <c r="A181" s="187" t="s">
        <v>789</v>
      </c>
      <c r="B181" s="61" t="s">
        <v>90</v>
      </c>
      <c r="C181" s="61" t="s">
        <v>4614</v>
      </c>
      <c r="D181" s="199" t="s">
        <v>347</v>
      </c>
      <c r="E181" s="199" t="s">
        <v>1039</v>
      </c>
      <c r="F181" s="199" t="s">
        <v>1148</v>
      </c>
      <c r="G181" s="199" t="s">
        <v>72</v>
      </c>
      <c r="H181" s="199" t="s">
        <v>1246</v>
      </c>
      <c r="I181" s="61" t="s">
        <v>4631</v>
      </c>
      <c r="J181" s="199" t="s">
        <v>899</v>
      </c>
      <c r="K181" s="212">
        <v>100707.98</v>
      </c>
      <c r="L181" s="183">
        <f t="shared" si="5"/>
        <v>0</v>
      </c>
      <c r="M181" s="213">
        <v>0</v>
      </c>
      <c r="N181" s="212">
        <v>100707.98</v>
      </c>
      <c r="O181" s="187" t="s">
        <v>1374</v>
      </c>
      <c r="P181" s="199" t="s">
        <v>1534</v>
      </c>
      <c r="Q181" s="15" t="s">
        <v>1691</v>
      </c>
      <c r="S181" s="214">
        <v>42349.629908020797</v>
      </c>
      <c r="T181" s="187" t="s">
        <v>1754</v>
      </c>
      <c r="U181" s="61" t="s">
        <v>723</v>
      </c>
      <c r="W181" s="61" t="s">
        <v>624</v>
      </c>
      <c r="X181" s="61" t="s">
        <v>4615</v>
      </c>
      <c r="Y181" s="61" t="s">
        <v>124</v>
      </c>
    </row>
    <row r="182" spans="1:25" x14ac:dyDescent="0.25">
      <c r="A182" s="187" t="s">
        <v>789</v>
      </c>
      <c r="B182" s="61" t="s">
        <v>90</v>
      </c>
      <c r="C182" s="61" t="s">
        <v>2815</v>
      </c>
      <c r="D182" s="199" t="s">
        <v>4684</v>
      </c>
      <c r="E182" s="199" t="s">
        <v>998</v>
      </c>
      <c r="F182" s="199" t="s">
        <v>1133</v>
      </c>
      <c r="G182" s="199" t="s">
        <v>72</v>
      </c>
      <c r="H182" s="199" t="s">
        <v>2791</v>
      </c>
      <c r="I182" s="199" t="s">
        <v>4687</v>
      </c>
      <c r="J182" s="199" t="s">
        <v>895</v>
      </c>
      <c r="K182" s="212">
        <v>147126.44</v>
      </c>
      <c r="L182" s="183">
        <f t="shared" si="5"/>
        <v>0</v>
      </c>
      <c r="M182" s="213">
        <v>0</v>
      </c>
      <c r="N182" s="212">
        <v>147126.44</v>
      </c>
      <c r="O182" s="187" t="s">
        <v>1349</v>
      </c>
      <c r="P182" s="199" t="s">
        <v>1509</v>
      </c>
      <c r="Q182" s="15" t="s">
        <v>1667</v>
      </c>
      <c r="S182" s="214">
        <v>42579.711551504603</v>
      </c>
      <c r="T182" s="187" t="s">
        <v>1755</v>
      </c>
      <c r="U182" s="61" t="s">
        <v>723</v>
      </c>
      <c r="W182" s="61" t="s">
        <v>624</v>
      </c>
      <c r="X182" s="61" t="s">
        <v>4615</v>
      </c>
      <c r="Y182" s="61" t="s">
        <v>124</v>
      </c>
    </row>
    <row r="183" spans="1:25" x14ac:dyDescent="0.25">
      <c r="A183" s="187" t="s">
        <v>801</v>
      </c>
      <c r="B183" s="61" t="s">
        <v>90</v>
      </c>
      <c r="C183" s="61" t="s">
        <v>648</v>
      </c>
      <c r="D183" s="199" t="s">
        <v>948</v>
      </c>
      <c r="E183" s="199" t="s">
        <v>41</v>
      </c>
      <c r="F183" s="199" t="s">
        <v>41</v>
      </c>
      <c r="G183" s="199" t="s">
        <v>72</v>
      </c>
      <c r="H183" s="199" t="s">
        <v>1240</v>
      </c>
      <c r="I183" s="199" t="s">
        <v>1276</v>
      </c>
      <c r="J183" s="199" t="s">
        <v>898</v>
      </c>
      <c r="K183" s="212">
        <v>1227.04</v>
      </c>
      <c r="L183" s="183">
        <f t="shared" si="5"/>
        <v>135.96000000000004</v>
      </c>
      <c r="M183" s="213">
        <v>0</v>
      </c>
      <c r="N183" s="212">
        <v>1363</v>
      </c>
      <c r="O183" s="187" t="s">
        <v>1365</v>
      </c>
      <c r="P183" s="199" t="s">
        <v>1525</v>
      </c>
      <c r="Q183" s="15" t="s">
        <v>1683</v>
      </c>
      <c r="S183" s="214">
        <v>42492.565237581002</v>
      </c>
      <c r="T183" s="187" t="s">
        <v>1754</v>
      </c>
      <c r="U183" s="61" t="s">
        <v>723</v>
      </c>
      <c r="W183" s="61" t="s">
        <v>624</v>
      </c>
      <c r="X183" s="61" t="s">
        <v>1849</v>
      </c>
      <c r="Y183" s="61" t="s">
        <v>124</v>
      </c>
    </row>
    <row r="184" spans="1:25" x14ac:dyDescent="0.25">
      <c r="A184" s="187" t="s">
        <v>752</v>
      </c>
      <c r="B184" s="61" t="s">
        <v>90</v>
      </c>
      <c r="C184" s="61" t="s">
        <v>2815</v>
      </c>
      <c r="D184" s="199" t="s">
        <v>264</v>
      </c>
      <c r="E184" s="199" t="s">
        <v>998</v>
      </c>
      <c r="F184" s="199" t="s">
        <v>1106</v>
      </c>
      <c r="G184" s="199" t="s">
        <v>72</v>
      </c>
      <c r="H184" s="199" t="s">
        <v>1215</v>
      </c>
      <c r="I184" s="199" t="s">
        <v>1276</v>
      </c>
      <c r="J184" s="199" t="s">
        <v>885</v>
      </c>
      <c r="K184" s="212">
        <v>5861.78</v>
      </c>
      <c r="L184" s="183">
        <f t="shared" si="5"/>
        <v>0</v>
      </c>
      <c r="M184" s="213">
        <v>0</v>
      </c>
      <c r="N184" s="212">
        <v>5861.78</v>
      </c>
      <c r="O184" s="187" t="s">
        <v>1312</v>
      </c>
      <c r="P184" s="199" t="s">
        <v>1472</v>
      </c>
      <c r="Q184" s="15" t="s">
        <v>1632</v>
      </c>
      <c r="S184" s="214">
        <v>42446.764907557903</v>
      </c>
      <c r="T184" s="187" t="s">
        <v>1755</v>
      </c>
      <c r="U184" s="61" t="s">
        <v>723</v>
      </c>
      <c r="W184" s="61" t="s">
        <v>624</v>
      </c>
      <c r="X184" s="61" t="s">
        <v>4618</v>
      </c>
      <c r="Y184" s="61" t="s">
        <v>125</v>
      </c>
    </row>
    <row r="185" spans="1:25" x14ac:dyDescent="0.25">
      <c r="A185" s="187" t="s">
        <v>752</v>
      </c>
      <c r="B185" s="61" t="s">
        <v>90</v>
      </c>
      <c r="C185" s="61" t="s">
        <v>2815</v>
      </c>
      <c r="D185" s="199" t="s">
        <v>264</v>
      </c>
      <c r="E185" s="199" t="s">
        <v>989</v>
      </c>
      <c r="F185" s="199" t="s">
        <v>1104</v>
      </c>
      <c r="G185" s="199" t="s">
        <v>72</v>
      </c>
      <c r="H185" s="199" t="s">
        <v>1214</v>
      </c>
      <c r="I185" s="199" t="s">
        <v>1276</v>
      </c>
      <c r="J185" s="199" t="s">
        <v>885</v>
      </c>
      <c r="K185" s="212">
        <v>1100</v>
      </c>
      <c r="L185" s="183">
        <f t="shared" si="5"/>
        <v>0</v>
      </c>
      <c r="M185" s="213">
        <v>0</v>
      </c>
      <c r="N185" s="212">
        <v>1100</v>
      </c>
      <c r="O185" s="187" t="s">
        <v>1310</v>
      </c>
      <c r="P185" s="199" t="s">
        <v>1470</v>
      </c>
      <c r="Q185" s="15" t="s">
        <v>1630</v>
      </c>
      <c r="S185" s="214">
        <v>42361.7205527431</v>
      </c>
      <c r="T185" s="187" t="s">
        <v>1755</v>
      </c>
      <c r="U185" s="61" t="s">
        <v>723</v>
      </c>
      <c r="W185" s="61" t="s">
        <v>624</v>
      </c>
      <c r="X185" s="61" t="s">
        <v>4618</v>
      </c>
      <c r="Y185" s="61" t="s">
        <v>125</v>
      </c>
    </row>
    <row r="186" spans="1:25" x14ac:dyDescent="0.25">
      <c r="A186" s="187" t="s">
        <v>752</v>
      </c>
      <c r="B186" s="61" t="s">
        <v>90</v>
      </c>
      <c r="C186" s="61" t="s">
        <v>2815</v>
      </c>
      <c r="D186" s="199" t="s">
        <v>264</v>
      </c>
      <c r="E186" s="199" t="s">
        <v>989</v>
      </c>
      <c r="F186" s="199" t="s">
        <v>1104</v>
      </c>
      <c r="G186" s="199" t="s">
        <v>72</v>
      </c>
      <c r="H186" s="199" t="s">
        <v>1214</v>
      </c>
      <c r="I186" s="61" t="s">
        <v>4632</v>
      </c>
      <c r="J186" s="199" t="s">
        <v>886</v>
      </c>
      <c r="K186" s="212">
        <v>6136.57</v>
      </c>
      <c r="L186" s="183">
        <f t="shared" si="5"/>
        <v>0</v>
      </c>
      <c r="M186" s="213">
        <v>0</v>
      </c>
      <c r="N186" s="212">
        <v>6136.57</v>
      </c>
      <c r="O186" s="187" t="s">
        <v>1310</v>
      </c>
      <c r="P186" s="199" t="s">
        <v>1470</v>
      </c>
      <c r="Q186" s="15" t="s">
        <v>1630</v>
      </c>
      <c r="S186" s="214">
        <v>42361.7205527431</v>
      </c>
      <c r="T186" s="187" t="s">
        <v>1755</v>
      </c>
      <c r="U186" s="61" t="s">
        <v>723</v>
      </c>
      <c r="W186" s="61" t="s">
        <v>624</v>
      </c>
      <c r="X186" s="61" t="s">
        <v>4618</v>
      </c>
      <c r="Y186" s="61" t="s">
        <v>125</v>
      </c>
    </row>
    <row r="187" spans="1:25" x14ac:dyDescent="0.25">
      <c r="A187" s="215" t="s">
        <v>794</v>
      </c>
      <c r="B187" s="61" t="s">
        <v>90</v>
      </c>
      <c r="C187" s="61" t="s">
        <v>648</v>
      </c>
      <c r="D187" s="199" t="s">
        <v>949</v>
      </c>
      <c r="E187" s="199" t="s">
        <v>41</v>
      </c>
      <c r="F187" s="199" t="s">
        <v>41</v>
      </c>
      <c r="G187" s="199" t="s">
        <v>72</v>
      </c>
      <c r="H187" s="199" t="s">
        <v>1231</v>
      </c>
      <c r="I187" s="199" t="s">
        <v>1276</v>
      </c>
      <c r="J187" s="199" t="s">
        <v>871</v>
      </c>
      <c r="K187" s="212">
        <v>159047</v>
      </c>
      <c r="L187" s="183">
        <f t="shared" si="5"/>
        <v>17672</v>
      </c>
      <c r="M187" s="213">
        <v>0</v>
      </c>
      <c r="N187" s="212">
        <v>176719</v>
      </c>
      <c r="O187" s="187" t="s">
        <v>1355</v>
      </c>
      <c r="P187" s="199" t="s">
        <v>1515</v>
      </c>
      <c r="Q187" s="15" t="s">
        <v>1673</v>
      </c>
      <c r="S187" s="214">
        <v>42621.719783449102</v>
      </c>
      <c r="T187" s="187" t="s">
        <v>1755</v>
      </c>
      <c r="U187" s="61" t="s">
        <v>723</v>
      </c>
      <c r="W187" s="61" t="s">
        <v>624</v>
      </c>
      <c r="X187" s="61" t="s">
        <v>1849</v>
      </c>
      <c r="Y187" s="61" t="s">
        <v>124</v>
      </c>
    </row>
    <row r="188" spans="1:25" x14ac:dyDescent="0.25">
      <c r="A188" s="215" t="s">
        <v>794</v>
      </c>
      <c r="B188" s="61" t="s">
        <v>90</v>
      </c>
      <c r="C188" s="61" t="s">
        <v>648</v>
      </c>
      <c r="D188" s="199" t="s">
        <v>948</v>
      </c>
      <c r="E188" s="199" t="s">
        <v>41</v>
      </c>
      <c r="F188" s="199" t="s">
        <v>41</v>
      </c>
      <c r="G188" s="199" t="s">
        <v>72</v>
      </c>
      <c r="H188" s="199" t="s">
        <v>1231</v>
      </c>
      <c r="I188" s="199" t="s">
        <v>1276</v>
      </c>
      <c r="J188" s="199" t="s">
        <v>871</v>
      </c>
      <c r="K188" s="212">
        <v>26870</v>
      </c>
      <c r="L188" s="183">
        <f t="shared" si="5"/>
        <v>2986</v>
      </c>
      <c r="M188" s="213">
        <v>0</v>
      </c>
      <c r="N188" s="212">
        <v>29856</v>
      </c>
      <c r="O188" s="187" t="s">
        <v>1354</v>
      </c>
      <c r="P188" s="199" t="s">
        <v>1514</v>
      </c>
      <c r="Q188" s="15" t="s">
        <v>1672</v>
      </c>
      <c r="S188" s="214">
        <v>42601.610684988402</v>
      </c>
      <c r="T188" s="187" t="s">
        <v>1755</v>
      </c>
      <c r="U188" s="61" t="s">
        <v>723</v>
      </c>
      <c r="W188" s="61" t="s">
        <v>624</v>
      </c>
      <c r="X188" s="61" t="s">
        <v>1849</v>
      </c>
      <c r="Y188" s="61" t="s">
        <v>124</v>
      </c>
    </row>
    <row r="189" spans="1:25" x14ac:dyDescent="0.25">
      <c r="A189" s="187" t="s">
        <v>796</v>
      </c>
      <c r="B189" s="61" t="s">
        <v>90</v>
      </c>
      <c r="C189" s="61" t="s">
        <v>648</v>
      </c>
      <c r="D189" s="199" t="s">
        <v>950</v>
      </c>
      <c r="E189" s="199" t="s">
        <v>41</v>
      </c>
      <c r="F189" s="199" t="s">
        <v>41</v>
      </c>
      <c r="G189" s="199" t="s">
        <v>72</v>
      </c>
      <c r="H189" s="199" t="s">
        <v>1233</v>
      </c>
      <c r="I189" s="199" t="s">
        <v>1276</v>
      </c>
      <c r="J189" s="199" t="s">
        <v>871</v>
      </c>
      <c r="K189" s="212">
        <v>48531.49</v>
      </c>
      <c r="L189" s="183">
        <f t="shared" si="5"/>
        <v>5392.510000000002</v>
      </c>
      <c r="M189" s="213">
        <v>0</v>
      </c>
      <c r="N189" s="212">
        <v>53924</v>
      </c>
      <c r="O189" s="187" t="s">
        <v>1357</v>
      </c>
      <c r="P189" s="199" t="s">
        <v>1517</v>
      </c>
      <c r="Q189" s="15" t="s">
        <v>1675</v>
      </c>
      <c r="S189" s="214">
        <v>42599.439523958303</v>
      </c>
      <c r="T189" s="187" t="s">
        <v>1755</v>
      </c>
      <c r="U189" s="61" t="s">
        <v>723</v>
      </c>
      <c r="W189" s="61" t="s">
        <v>624</v>
      </c>
      <c r="X189" s="61" t="s">
        <v>1849</v>
      </c>
      <c r="Y189" s="61" t="s">
        <v>124</v>
      </c>
    </row>
  </sheetData>
  <sortState ref="A2:Y189">
    <sortCondition ref="J2:J18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104"/>
  <sheetViews>
    <sheetView zoomScale="80" zoomScaleNormal="80" workbookViewId="0">
      <pane ySplit="1" topLeftCell="A2" activePane="bottomLeft" state="frozen"/>
      <selection pane="bottomLeft" activeCell="A107" sqref="A107"/>
    </sheetView>
  </sheetViews>
  <sheetFormatPr defaultRowHeight="15" x14ac:dyDescent="0.25"/>
  <cols>
    <col min="1" max="1" width="13.85546875" style="7" customWidth="1"/>
    <col min="2" max="2" width="7.5703125" customWidth="1"/>
    <col min="3" max="3" width="10.140625" customWidth="1"/>
    <col min="4" max="4" width="6.140625" customWidth="1"/>
    <col min="5" max="5" width="18.140625" style="176" customWidth="1"/>
    <col min="6" max="6" width="38.140625" style="176" bestFit="1" customWidth="1"/>
    <col min="7" max="7" width="18.140625" style="171" customWidth="1"/>
    <col min="8" max="8" width="12" style="176" hidden="1" customWidth="1"/>
    <col min="9" max="9" width="14.5703125" customWidth="1"/>
    <col min="10" max="10" width="11.5703125" bestFit="1" customWidth="1"/>
    <col min="11" max="11" width="11.5703125" customWidth="1"/>
    <col min="12" max="12" width="29.140625" style="180" customWidth="1"/>
    <col min="13" max="13" width="11.5703125" style="180" customWidth="1"/>
    <col min="14" max="15" width="16.42578125" style="6" customWidth="1"/>
    <col min="16" max="16" width="12" style="6" customWidth="1"/>
    <col min="17" max="17" width="16.28515625" style="6" customWidth="1"/>
    <col min="18" max="18" width="14.85546875" style="6" customWidth="1"/>
    <col min="19" max="19" width="14.5703125" style="6" hidden="1" customWidth="1"/>
    <col min="20" max="20" width="91.42578125" style="5" customWidth="1"/>
    <col min="21" max="21" width="43.7109375" style="4" customWidth="1"/>
    <col min="22" max="22" width="9.140625" customWidth="1"/>
    <col min="23" max="23" width="10.5703125" bestFit="1" customWidth="1"/>
  </cols>
  <sheetData>
    <row r="1" spans="1:25" ht="45" x14ac:dyDescent="0.25">
      <c r="A1" s="13" t="s">
        <v>0</v>
      </c>
      <c r="B1" s="13" t="s">
        <v>2279</v>
      </c>
      <c r="C1" s="13" t="s">
        <v>2409</v>
      </c>
      <c r="D1" s="13" t="s">
        <v>2410</v>
      </c>
      <c r="E1" s="173" t="s">
        <v>2411</v>
      </c>
      <c r="F1" s="173" t="s">
        <v>2412</v>
      </c>
      <c r="G1" s="173" t="s">
        <v>2413</v>
      </c>
      <c r="H1" s="173" t="s">
        <v>2414</v>
      </c>
      <c r="I1" s="13" t="s">
        <v>2415</v>
      </c>
      <c r="J1" s="13" t="s">
        <v>2416</v>
      </c>
      <c r="K1" s="13" t="s">
        <v>207</v>
      </c>
      <c r="L1" s="174" t="s">
        <v>2417</v>
      </c>
      <c r="M1" s="174" t="s">
        <v>2418</v>
      </c>
      <c r="N1" s="14" t="s">
        <v>206</v>
      </c>
      <c r="O1" s="14" t="s">
        <v>2419</v>
      </c>
      <c r="P1" s="175" t="s">
        <v>2420</v>
      </c>
      <c r="Q1" s="14" t="s">
        <v>2421</v>
      </c>
      <c r="R1" s="14" t="s">
        <v>2422</v>
      </c>
      <c r="S1" s="14" t="s">
        <v>2423</v>
      </c>
      <c r="T1" s="14" t="s">
        <v>7</v>
      </c>
      <c r="U1" s="13" t="s">
        <v>2281</v>
      </c>
      <c r="V1" s="13" t="s">
        <v>2424</v>
      </c>
      <c r="W1" s="13" t="s">
        <v>2425</v>
      </c>
      <c r="X1" s="13"/>
      <c r="Y1" s="13"/>
    </row>
    <row r="2" spans="1:25" ht="60" hidden="1" x14ac:dyDescent="0.25">
      <c r="A2" s="7" t="s">
        <v>2354</v>
      </c>
      <c r="B2" t="s">
        <v>2355</v>
      </c>
      <c r="C2">
        <v>5005</v>
      </c>
      <c r="D2">
        <v>16</v>
      </c>
      <c r="E2" s="176" t="s">
        <v>2356</v>
      </c>
      <c r="F2" s="171"/>
      <c r="G2" s="177"/>
      <c r="H2" s="176" t="s">
        <v>2302</v>
      </c>
      <c r="I2" s="178">
        <v>42543</v>
      </c>
      <c r="J2" s="178">
        <v>42576</v>
      </c>
      <c r="K2" s="178">
        <v>42614</v>
      </c>
      <c r="L2" s="179" t="s">
        <v>2426</v>
      </c>
      <c r="M2" s="180">
        <v>5307</v>
      </c>
      <c r="N2" s="6">
        <v>10000000</v>
      </c>
      <c r="O2" s="6">
        <v>0</v>
      </c>
      <c r="P2" s="6">
        <v>2370000</v>
      </c>
      <c r="Q2" s="6">
        <v>11850000</v>
      </c>
      <c r="S2" s="181" t="s">
        <v>2427</v>
      </c>
      <c r="T2" s="4" t="s">
        <v>2385</v>
      </c>
      <c r="U2" s="4" t="s">
        <v>2428</v>
      </c>
      <c r="W2" s="178">
        <v>42949</v>
      </c>
    </row>
    <row r="3" spans="1:25" ht="60" hidden="1" x14ac:dyDescent="0.25">
      <c r="A3" s="7" t="s">
        <v>2360</v>
      </c>
      <c r="B3" t="s">
        <v>2355</v>
      </c>
      <c r="C3">
        <v>5005</v>
      </c>
      <c r="D3">
        <v>16</v>
      </c>
      <c r="E3" s="176" t="s">
        <v>2356</v>
      </c>
      <c r="F3" s="171"/>
      <c r="G3" s="177"/>
      <c r="H3" s="176" t="s">
        <v>2302</v>
      </c>
      <c r="I3" s="178">
        <v>42543</v>
      </c>
      <c r="J3" s="178">
        <v>42576</v>
      </c>
      <c r="K3" s="178">
        <v>42614</v>
      </c>
      <c r="L3" s="179" t="s">
        <v>2426</v>
      </c>
      <c r="M3" s="180">
        <v>5307</v>
      </c>
      <c r="N3" s="6">
        <v>100000</v>
      </c>
      <c r="O3" s="6">
        <v>0</v>
      </c>
      <c r="P3" s="6">
        <v>20000</v>
      </c>
      <c r="Q3" s="6">
        <v>100000</v>
      </c>
      <c r="S3" s="181" t="s">
        <v>2427</v>
      </c>
      <c r="T3" s="4" t="s">
        <v>2361</v>
      </c>
      <c r="U3" s="4" t="s">
        <v>2428</v>
      </c>
      <c r="W3" s="178">
        <v>42949</v>
      </c>
    </row>
    <row r="4" spans="1:25" ht="60" hidden="1" x14ac:dyDescent="0.25">
      <c r="A4" s="7" t="s">
        <v>2363</v>
      </c>
      <c r="B4" t="s">
        <v>2355</v>
      </c>
      <c r="C4">
        <v>5005</v>
      </c>
      <c r="D4">
        <v>16</v>
      </c>
      <c r="E4" s="176" t="s">
        <v>2356</v>
      </c>
      <c r="F4" s="171" t="s">
        <v>2429</v>
      </c>
      <c r="G4" s="176"/>
      <c r="H4" s="176" t="s">
        <v>2302</v>
      </c>
      <c r="I4" s="178">
        <v>42543</v>
      </c>
      <c r="J4" s="178">
        <v>42573</v>
      </c>
      <c r="K4" s="178">
        <v>42614</v>
      </c>
      <c r="L4" s="179" t="s">
        <v>2426</v>
      </c>
      <c r="M4" s="180">
        <v>5307</v>
      </c>
      <c r="N4" s="6">
        <v>23500000</v>
      </c>
      <c r="O4" s="6">
        <v>0</v>
      </c>
      <c r="P4" s="6">
        <f>Q4*0.2</f>
        <v>4700000</v>
      </c>
      <c r="Q4" s="6">
        <f>N4</f>
        <v>23500000</v>
      </c>
      <c r="S4" s="181" t="s">
        <v>2430</v>
      </c>
      <c r="T4" s="4" t="s">
        <v>2431</v>
      </c>
      <c r="U4" s="4" t="s">
        <v>2428</v>
      </c>
      <c r="W4" s="178">
        <v>42949</v>
      </c>
    </row>
    <row r="5" spans="1:25" hidden="1" x14ac:dyDescent="0.25">
      <c r="A5" s="7" t="s">
        <v>2369</v>
      </c>
      <c r="B5" t="s">
        <v>2355</v>
      </c>
      <c r="C5">
        <v>5005</v>
      </c>
      <c r="D5">
        <v>16</v>
      </c>
      <c r="E5" s="176" t="s">
        <v>2356</v>
      </c>
      <c r="F5" s="171" t="s">
        <v>2432</v>
      </c>
      <c r="G5" s="176" t="s">
        <v>2433</v>
      </c>
      <c r="H5" s="176" t="s">
        <v>2302</v>
      </c>
      <c r="I5" s="178">
        <v>42543</v>
      </c>
      <c r="J5" s="178">
        <v>42573</v>
      </c>
      <c r="K5" s="178">
        <v>42614</v>
      </c>
      <c r="L5" s="179" t="s">
        <v>2426</v>
      </c>
      <c r="M5" s="180">
        <v>5307</v>
      </c>
      <c r="N5" s="6">
        <v>500000</v>
      </c>
      <c r="O5" s="6">
        <v>0</v>
      </c>
      <c r="P5" s="6">
        <f>Q5*0.2</f>
        <v>100000</v>
      </c>
      <c r="Q5" s="6">
        <f>N5</f>
        <v>500000</v>
      </c>
      <c r="S5" s="181"/>
      <c r="T5" s="4" t="s">
        <v>2434</v>
      </c>
      <c r="U5" s="4" t="s">
        <v>2428</v>
      </c>
      <c r="W5" s="178">
        <v>42949</v>
      </c>
    </row>
    <row r="6" spans="1:25" ht="60" hidden="1" x14ac:dyDescent="0.25">
      <c r="A6" s="7" t="s">
        <v>2370</v>
      </c>
      <c r="B6" t="s">
        <v>2355</v>
      </c>
      <c r="C6">
        <v>5005</v>
      </c>
      <c r="D6">
        <v>16</v>
      </c>
      <c r="E6" s="176" t="s">
        <v>2356</v>
      </c>
      <c r="F6" s="171" t="s">
        <v>2432</v>
      </c>
      <c r="G6" s="176"/>
      <c r="H6" s="176" t="s">
        <v>2302</v>
      </c>
      <c r="I6" s="178">
        <v>42543</v>
      </c>
      <c r="J6" s="178">
        <v>42573</v>
      </c>
      <c r="K6" s="178">
        <v>42614</v>
      </c>
      <c r="L6" s="179" t="s">
        <v>2426</v>
      </c>
      <c r="M6" s="180">
        <v>5307</v>
      </c>
      <c r="N6" s="6">
        <v>1000000</v>
      </c>
      <c r="O6" s="6">
        <v>0</v>
      </c>
      <c r="P6" s="6">
        <f t="shared" ref="P6:P22" si="0">Q6*0.2</f>
        <v>200000</v>
      </c>
      <c r="Q6" s="6">
        <f t="shared" ref="Q6:Q22" si="1">N6</f>
        <v>1000000</v>
      </c>
      <c r="S6" s="181" t="s">
        <v>2430</v>
      </c>
      <c r="T6" s="4" t="s">
        <v>2371</v>
      </c>
      <c r="U6" s="4" t="s">
        <v>2428</v>
      </c>
      <c r="W6" s="178">
        <v>42949</v>
      </c>
    </row>
    <row r="7" spans="1:25" ht="60" hidden="1" x14ac:dyDescent="0.25">
      <c r="A7" s="7" t="s">
        <v>2372</v>
      </c>
      <c r="B7" t="s">
        <v>2355</v>
      </c>
      <c r="C7">
        <v>5005</v>
      </c>
      <c r="D7">
        <v>16</v>
      </c>
      <c r="E7" s="176" t="s">
        <v>2356</v>
      </c>
      <c r="F7" s="171" t="s">
        <v>2429</v>
      </c>
      <c r="G7" s="176" t="s">
        <v>2435</v>
      </c>
      <c r="H7" s="176" t="s">
        <v>2302</v>
      </c>
      <c r="I7" s="178">
        <v>42543</v>
      </c>
      <c r="J7" s="178">
        <v>42573</v>
      </c>
      <c r="K7" s="178">
        <v>42614</v>
      </c>
      <c r="L7" s="179" t="s">
        <v>2426</v>
      </c>
      <c r="M7" s="180">
        <v>5307</v>
      </c>
      <c r="N7" s="6">
        <v>5500000</v>
      </c>
      <c r="O7" s="6">
        <v>0</v>
      </c>
      <c r="P7" s="6">
        <f t="shared" si="0"/>
        <v>1100000</v>
      </c>
      <c r="Q7" s="6">
        <f t="shared" si="1"/>
        <v>5500000</v>
      </c>
      <c r="S7" s="181" t="s">
        <v>2430</v>
      </c>
      <c r="T7" s="4" t="s">
        <v>2436</v>
      </c>
      <c r="U7" s="4" t="s">
        <v>2428</v>
      </c>
      <c r="W7" s="178">
        <v>42949</v>
      </c>
    </row>
    <row r="8" spans="1:25" ht="60" hidden="1" x14ac:dyDescent="0.25">
      <c r="A8" s="7" t="s">
        <v>2380</v>
      </c>
      <c r="B8" t="s">
        <v>2355</v>
      </c>
      <c r="C8">
        <v>5005</v>
      </c>
      <c r="D8">
        <v>16</v>
      </c>
      <c r="E8" s="176" t="s">
        <v>2356</v>
      </c>
      <c r="F8" s="171"/>
      <c r="G8" s="176"/>
      <c r="H8" s="176" t="s">
        <v>2302</v>
      </c>
      <c r="I8" s="178">
        <v>42543</v>
      </c>
      <c r="J8" s="178">
        <v>42573</v>
      </c>
      <c r="K8" s="178">
        <v>42614</v>
      </c>
      <c r="L8" s="179" t="s">
        <v>2426</v>
      </c>
      <c r="M8" s="180">
        <v>5307</v>
      </c>
      <c r="N8" s="6">
        <v>3500000</v>
      </c>
      <c r="O8" s="6">
        <v>0</v>
      </c>
      <c r="P8" s="6">
        <f t="shared" si="0"/>
        <v>700000</v>
      </c>
      <c r="Q8" s="6">
        <f t="shared" si="1"/>
        <v>3500000</v>
      </c>
      <c r="S8" s="181" t="s">
        <v>2430</v>
      </c>
      <c r="T8" s="4" t="s">
        <v>2437</v>
      </c>
      <c r="U8" s="4" t="s">
        <v>2428</v>
      </c>
      <c r="W8" s="178">
        <v>42949</v>
      </c>
    </row>
    <row r="9" spans="1:25" ht="60" hidden="1" x14ac:dyDescent="0.25">
      <c r="A9" s="7" t="s">
        <v>2372</v>
      </c>
      <c r="B9" t="s">
        <v>2355</v>
      </c>
      <c r="C9">
        <v>5005</v>
      </c>
      <c r="D9">
        <v>16</v>
      </c>
      <c r="E9" s="176" t="s">
        <v>2356</v>
      </c>
      <c r="F9" s="171" t="s">
        <v>2429</v>
      </c>
      <c r="G9" s="176" t="s">
        <v>2438</v>
      </c>
      <c r="H9" s="176" t="s">
        <v>2302</v>
      </c>
      <c r="I9" s="178">
        <v>42543</v>
      </c>
      <c r="J9" s="178">
        <v>42573</v>
      </c>
      <c r="K9" s="178">
        <v>42614</v>
      </c>
      <c r="L9" s="179" t="s">
        <v>2426</v>
      </c>
      <c r="M9" s="180">
        <v>5307</v>
      </c>
      <c r="N9" s="6">
        <v>515000</v>
      </c>
      <c r="O9" s="6">
        <v>0</v>
      </c>
      <c r="P9" s="6">
        <f t="shared" si="0"/>
        <v>103000</v>
      </c>
      <c r="Q9" s="6">
        <f t="shared" si="1"/>
        <v>515000</v>
      </c>
      <c r="S9" s="181" t="s">
        <v>2430</v>
      </c>
      <c r="T9" s="4" t="s">
        <v>2373</v>
      </c>
      <c r="U9" s="4" t="s">
        <v>2428</v>
      </c>
      <c r="W9" s="178">
        <v>42949</v>
      </c>
    </row>
    <row r="10" spans="1:25" ht="60" hidden="1" x14ac:dyDescent="0.25">
      <c r="A10" s="7" t="s">
        <v>2384</v>
      </c>
      <c r="B10" t="s">
        <v>2355</v>
      </c>
      <c r="C10">
        <v>5005</v>
      </c>
      <c r="D10">
        <v>16</v>
      </c>
      <c r="E10" s="176" t="s">
        <v>2356</v>
      </c>
      <c r="F10" s="171"/>
      <c r="G10" s="176"/>
      <c r="H10" s="176" t="s">
        <v>2302</v>
      </c>
      <c r="I10" s="178">
        <v>42543</v>
      </c>
      <c r="J10" s="178">
        <v>42573</v>
      </c>
      <c r="K10" s="178">
        <v>42614</v>
      </c>
      <c r="L10" s="179" t="s">
        <v>2426</v>
      </c>
      <c r="M10" s="180">
        <v>5307</v>
      </c>
      <c r="N10" s="6">
        <v>15000000</v>
      </c>
      <c r="O10" s="6">
        <v>0</v>
      </c>
      <c r="P10" s="6">
        <f t="shared" si="0"/>
        <v>3000000</v>
      </c>
      <c r="Q10" s="6">
        <f t="shared" si="1"/>
        <v>15000000</v>
      </c>
      <c r="S10" s="181" t="s">
        <v>2430</v>
      </c>
      <c r="T10" s="4" t="s">
        <v>2385</v>
      </c>
      <c r="U10" s="4" t="s">
        <v>2428</v>
      </c>
      <c r="W10" s="178">
        <v>42949</v>
      </c>
    </row>
    <row r="11" spans="1:25" ht="60" hidden="1" x14ac:dyDescent="0.25">
      <c r="A11" s="7" t="s">
        <v>2390</v>
      </c>
      <c r="B11" t="s">
        <v>2355</v>
      </c>
      <c r="C11">
        <v>5005</v>
      </c>
      <c r="D11">
        <v>16</v>
      </c>
      <c r="E11" s="176" t="s">
        <v>2356</v>
      </c>
      <c r="F11" s="171"/>
      <c r="G11" s="176"/>
      <c r="H11" s="176" t="s">
        <v>2302</v>
      </c>
      <c r="I11" s="178">
        <v>42543</v>
      </c>
      <c r="J11" s="178">
        <v>42573</v>
      </c>
      <c r="K11" s="178">
        <v>42614</v>
      </c>
      <c r="L11" s="179" t="s">
        <v>2426</v>
      </c>
      <c r="M11" s="180">
        <v>5307</v>
      </c>
      <c r="N11" s="6">
        <v>4000000</v>
      </c>
      <c r="O11" s="6">
        <v>0</v>
      </c>
      <c r="P11" s="6">
        <f t="shared" si="0"/>
        <v>800000</v>
      </c>
      <c r="Q11" s="6">
        <f t="shared" si="1"/>
        <v>4000000</v>
      </c>
      <c r="S11" s="181" t="s">
        <v>2430</v>
      </c>
      <c r="T11" s="4" t="s">
        <v>2439</v>
      </c>
      <c r="U11" s="4" t="s">
        <v>2428</v>
      </c>
      <c r="W11" s="178">
        <v>42949</v>
      </c>
    </row>
    <row r="12" spans="1:25" ht="60" hidden="1" x14ac:dyDescent="0.25">
      <c r="A12" s="7" t="s">
        <v>2391</v>
      </c>
      <c r="B12" t="s">
        <v>2355</v>
      </c>
      <c r="C12">
        <v>5005</v>
      </c>
      <c r="D12">
        <v>16</v>
      </c>
      <c r="E12" s="176" t="s">
        <v>2356</v>
      </c>
      <c r="F12" s="171"/>
      <c r="G12" s="176"/>
      <c r="H12" s="176" t="s">
        <v>2302</v>
      </c>
      <c r="I12" s="178">
        <v>42543</v>
      </c>
      <c r="J12" s="178">
        <v>42573</v>
      </c>
      <c r="K12" s="178">
        <v>42614</v>
      </c>
      <c r="L12" s="179" t="s">
        <v>2426</v>
      </c>
      <c r="M12" s="180">
        <v>5307</v>
      </c>
      <c r="N12" s="6">
        <v>1600000</v>
      </c>
      <c r="O12" s="6">
        <v>0</v>
      </c>
      <c r="P12" s="6">
        <f t="shared" si="0"/>
        <v>320000</v>
      </c>
      <c r="Q12" s="6">
        <f t="shared" si="1"/>
        <v>1600000</v>
      </c>
      <c r="S12" s="181" t="s">
        <v>2430</v>
      </c>
      <c r="T12" s="4" t="s">
        <v>2440</v>
      </c>
      <c r="U12" s="4" t="s">
        <v>2428</v>
      </c>
      <c r="W12" s="178">
        <v>42949</v>
      </c>
    </row>
    <row r="13" spans="1:25" ht="30" hidden="1" x14ac:dyDescent="0.25">
      <c r="A13" s="7" t="s">
        <v>2394</v>
      </c>
      <c r="B13" t="s">
        <v>2355</v>
      </c>
      <c r="C13">
        <v>5005</v>
      </c>
      <c r="D13">
        <v>16</v>
      </c>
      <c r="E13" s="176" t="s">
        <v>2356</v>
      </c>
      <c r="F13" s="171"/>
      <c r="G13" s="176"/>
      <c r="H13" s="176" t="s">
        <v>2302</v>
      </c>
      <c r="I13" s="178">
        <v>42543</v>
      </c>
      <c r="J13" s="178">
        <v>42573</v>
      </c>
      <c r="K13" s="178">
        <v>42614</v>
      </c>
      <c r="L13" s="179" t="s">
        <v>2426</v>
      </c>
      <c r="M13" s="180">
        <v>5307</v>
      </c>
      <c r="N13" s="6">
        <v>100000</v>
      </c>
      <c r="O13" s="6">
        <v>0</v>
      </c>
      <c r="P13" s="6">
        <f t="shared" si="0"/>
        <v>20000</v>
      </c>
      <c r="Q13" s="6">
        <f t="shared" si="1"/>
        <v>100000</v>
      </c>
      <c r="S13" s="181"/>
      <c r="T13" s="4" t="s">
        <v>2440</v>
      </c>
      <c r="U13" s="4" t="s">
        <v>2428</v>
      </c>
      <c r="W13" s="178">
        <v>42949</v>
      </c>
    </row>
    <row r="14" spans="1:25" hidden="1" x14ac:dyDescent="0.25">
      <c r="A14" s="7" t="s">
        <v>2395</v>
      </c>
      <c r="B14" t="s">
        <v>2355</v>
      </c>
      <c r="C14">
        <v>5005</v>
      </c>
      <c r="D14">
        <v>16</v>
      </c>
      <c r="E14" s="176" t="s">
        <v>2356</v>
      </c>
      <c r="F14" s="171"/>
      <c r="G14" s="176"/>
      <c r="H14" s="176" t="s">
        <v>2302</v>
      </c>
      <c r="I14" s="178">
        <v>42543</v>
      </c>
      <c r="J14" s="178">
        <v>42573</v>
      </c>
      <c r="K14" s="178">
        <v>42614</v>
      </c>
      <c r="L14" s="179" t="s">
        <v>2426</v>
      </c>
      <c r="M14" s="180">
        <v>5307</v>
      </c>
      <c r="N14" s="6">
        <v>200000</v>
      </c>
      <c r="O14" s="6">
        <v>0</v>
      </c>
      <c r="P14" s="6">
        <f t="shared" si="0"/>
        <v>40000</v>
      </c>
      <c r="Q14" s="6">
        <f t="shared" si="1"/>
        <v>200000</v>
      </c>
      <c r="S14" s="181"/>
      <c r="T14" s="4" t="s">
        <v>2441</v>
      </c>
      <c r="U14" s="4" t="s">
        <v>2428</v>
      </c>
      <c r="W14" s="178">
        <v>42949</v>
      </c>
    </row>
    <row r="15" spans="1:25" ht="60" hidden="1" x14ac:dyDescent="0.25">
      <c r="A15" s="7" t="s">
        <v>2396</v>
      </c>
      <c r="B15" t="s">
        <v>2355</v>
      </c>
      <c r="C15">
        <v>5005</v>
      </c>
      <c r="D15">
        <v>16</v>
      </c>
      <c r="E15" s="176" t="s">
        <v>2356</v>
      </c>
      <c r="F15" s="171"/>
      <c r="G15" s="176"/>
      <c r="H15" s="176" t="s">
        <v>2302</v>
      </c>
      <c r="I15" s="178">
        <v>42543</v>
      </c>
      <c r="J15" s="178">
        <v>42573</v>
      </c>
      <c r="K15" s="178">
        <v>42614</v>
      </c>
      <c r="L15" s="179" t="s">
        <v>2426</v>
      </c>
      <c r="M15" s="180">
        <v>5307</v>
      </c>
      <c r="N15" s="6">
        <v>1500000</v>
      </c>
      <c r="O15" s="6">
        <v>0</v>
      </c>
      <c r="P15" s="6">
        <f t="shared" si="0"/>
        <v>300000</v>
      </c>
      <c r="Q15" s="6">
        <f t="shared" si="1"/>
        <v>1500000</v>
      </c>
      <c r="S15" s="181" t="s">
        <v>2430</v>
      </c>
      <c r="T15" s="4" t="s">
        <v>2442</v>
      </c>
      <c r="U15" s="4" t="s">
        <v>2428</v>
      </c>
      <c r="W15" s="178">
        <v>42949</v>
      </c>
    </row>
    <row r="16" spans="1:25" ht="60" hidden="1" x14ac:dyDescent="0.25">
      <c r="A16" s="7" t="s">
        <v>2397</v>
      </c>
      <c r="B16" t="s">
        <v>2355</v>
      </c>
      <c r="C16">
        <v>5005</v>
      </c>
      <c r="D16">
        <v>16</v>
      </c>
      <c r="E16" s="176" t="s">
        <v>2356</v>
      </c>
      <c r="F16" s="171"/>
      <c r="G16" s="176"/>
      <c r="H16" s="176" t="s">
        <v>2302</v>
      </c>
      <c r="I16" s="178">
        <v>42543</v>
      </c>
      <c r="J16" s="178">
        <v>42573</v>
      </c>
      <c r="K16" s="178">
        <v>42614</v>
      </c>
      <c r="L16" s="179" t="s">
        <v>2426</v>
      </c>
      <c r="M16" s="180">
        <v>5307</v>
      </c>
      <c r="N16" s="6">
        <v>700000</v>
      </c>
      <c r="O16" s="6">
        <v>0</v>
      </c>
      <c r="P16" s="6">
        <f t="shared" si="0"/>
        <v>140000</v>
      </c>
      <c r="Q16" s="6">
        <f t="shared" si="1"/>
        <v>700000</v>
      </c>
      <c r="S16" s="181" t="s">
        <v>2430</v>
      </c>
      <c r="T16" s="4" t="s">
        <v>2398</v>
      </c>
      <c r="U16" s="4" t="s">
        <v>2428</v>
      </c>
      <c r="W16" s="178">
        <v>42949</v>
      </c>
    </row>
    <row r="17" spans="1:23" ht="60" hidden="1" x14ac:dyDescent="0.25">
      <c r="A17" s="7" t="s">
        <v>2399</v>
      </c>
      <c r="B17" t="s">
        <v>2355</v>
      </c>
      <c r="C17">
        <v>5005</v>
      </c>
      <c r="D17">
        <v>16</v>
      </c>
      <c r="E17" s="176" t="s">
        <v>2356</v>
      </c>
      <c r="F17" s="171"/>
      <c r="G17" s="176"/>
      <c r="H17" s="176" t="s">
        <v>2302</v>
      </c>
      <c r="I17" s="178">
        <v>42543</v>
      </c>
      <c r="J17" s="178">
        <v>42573</v>
      </c>
      <c r="K17" s="178">
        <v>42614</v>
      </c>
      <c r="L17" s="179" t="s">
        <v>2426</v>
      </c>
      <c r="M17" s="180">
        <v>5307</v>
      </c>
      <c r="N17" s="6">
        <v>2700000</v>
      </c>
      <c r="O17" s="6">
        <v>0</v>
      </c>
      <c r="P17" s="6">
        <f t="shared" si="0"/>
        <v>540000</v>
      </c>
      <c r="Q17" s="6">
        <f t="shared" si="1"/>
        <v>2700000</v>
      </c>
      <c r="S17" s="181" t="s">
        <v>2430</v>
      </c>
      <c r="T17" s="4" t="s">
        <v>2431</v>
      </c>
      <c r="U17" s="4" t="s">
        <v>2428</v>
      </c>
      <c r="W17" s="178">
        <v>42949</v>
      </c>
    </row>
    <row r="18" spans="1:23" ht="60" hidden="1" x14ac:dyDescent="0.25">
      <c r="A18" s="7" t="s">
        <v>2400</v>
      </c>
      <c r="B18" t="s">
        <v>2355</v>
      </c>
      <c r="C18">
        <v>5005</v>
      </c>
      <c r="D18">
        <v>16</v>
      </c>
      <c r="E18" s="176" t="s">
        <v>2356</v>
      </c>
      <c r="F18" s="171"/>
      <c r="G18" s="176"/>
      <c r="H18" s="176" t="s">
        <v>2302</v>
      </c>
      <c r="I18" s="178">
        <v>42543</v>
      </c>
      <c r="J18" s="178">
        <v>42573</v>
      </c>
      <c r="K18" s="178">
        <v>42614</v>
      </c>
      <c r="L18" s="179" t="s">
        <v>2426</v>
      </c>
      <c r="M18" s="180">
        <v>5307</v>
      </c>
      <c r="N18" s="6">
        <v>500000</v>
      </c>
      <c r="O18" s="6">
        <v>0</v>
      </c>
      <c r="P18" s="6">
        <f t="shared" si="0"/>
        <v>100000</v>
      </c>
      <c r="Q18" s="6">
        <f t="shared" si="1"/>
        <v>500000</v>
      </c>
      <c r="S18" s="181" t="s">
        <v>2430</v>
      </c>
      <c r="T18" s="4" t="s">
        <v>2296</v>
      </c>
      <c r="U18" s="4" t="s">
        <v>2428</v>
      </c>
      <c r="W18" s="178">
        <v>42949</v>
      </c>
    </row>
    <row r="19" spans="1:23" ht="60" hidden="1" x14ac:dyDescent="0.25">
      <c r="A19" s="7" t="s">
        <v>2401</v>
      </c>
      <c r="B19" t="s">
        <v>2355</v>
      </c>
      <c r="C19">
        <v>5005</v>
      </c>
      <c r="D19">
        <v>16</v>
      </c>
      <c r="E19" s="176" t="s">
        <v>2356</v>
      </c>
      <c r="F19" s="171"/>
      <c r="G19" s="176"/>
      <c r="H19" s="176" t="s">
        <v>2302</v>
      </c>
      <c r="I19" s="178">
        <v>42543</v>
      </c>
      <c r="J19" s="178">
        <v>42573</v>
      </c>
      <c r="K19" s="178">
        <v>42614</v>
      </c>
      <c r="L19" s="179" t="s">
        <v>2426</v>
      </c>
      <c r="M19" s="180">
        <v>5307</v>
      </c>
      <c r="N19" s="6">
        <v>275000</v>
      </c>
      <c r="O19" s="6">
        <v>0</v>
      </c>
      <c r="P19" s="6">
        <f t="shared" si="0"/>
        <v>55000</v>
      </c>
      <c r="Q19" s="6">
        <f t="shared" si="1"/>
        <v>275000</v>
      </c>
      <c r="S19" s="181" t="s">
        <v>2430</v>
      </c>
      <c r="T19" s="4" t="s">
        <v>2402</v>
      </c>
      <c r="U19" s="4" t="s">
        <v>2428</v>
      </c>
      <c r="W19" s="178">
        <v>42949</v>
      </c>
    </row>
    <row r="20" spans="1:23" hidden="1" x14ac:dyDescent="0.25">
      <c r="A20" s="7" t="s">
        <v>2403</v>
      </c>
      <c r="B20" t="s">
        <v>2355</v>
      </c>
      <c r="C20">
        <v>5005</v>
      </c>
      <c r="D20">
        <v>16</v>
      </c>
      <c r="E20" s="176" t="s">
        <v>2356</v>
      </c>
      <c r="F20" s="171"/>
      <c r="G20" s="176"/>
      <c r="H20" s="176" t="s">
        <v>2302</v>
      </c>
      <c r="I20" s="178">
        <v>42543</v>
      </c>
      <c r="J20" s="178">
        <v>42573</v>
      </c>
      <c r="K20" s="178">
        <v>42614</v>
      </c>
      <c r="L20" s="179" t="s">
        <v>2426</v>
      </c>
      <c r="M20" s="180">
        <v>5307</v>
      </c>
      <c r="N20" s="6">
        <v>3550000</v>
      </c>
      <c r="O20" s="6">
        <v>0</v>
      </c>
      <c r="P20" s="6">
        <f t="shared" si="0"/>
        <v>710000</v>
      </c>
      <c r="Q20" s="6">
        <f t="shared" si="1"/>
        <v>3550000</v>
      </c>
      <c r="S20" s="181"/>
      <c r="T20" s="4" t="s">
        <v>2404</v>
      </c>
      <c r="U20" s="4" t="s">
        <v>2428</v>
      </c>
      <c r="W20" s="178">
        <v>42949</v>
      </c>
    </row>
    <row r="21" spans="1:23" hidden="1" x14ac:dyDescent="0.25">
      <c r="A21" s="7" t="s">
        <v>2405</v>
      </c>
      <c r="B21" t="s">
        <v>2355</v>
      </c>
      <c r="C21">
        <v>5005</v>
      </c>
      <c r="D21">
        <v>16</v>
      </c>
      <c r="E21" s="176" t="s">
        <v>2356</v>
      </c>
      <c r="F21" s="171"/>
      <c r="G21" s="176"/>
      <c r="H21" s="176" t="s">
        <v>2302</v>
      </c>
      <c r="I21" s="178">
        <v>42543</v>
      </c>
      <c r="J21" s="178">
        <v>42573</v>
      </c>
      <c r="K21" s="178">
        <v>42614</v>
      </c>
      <c r="L21" s="179" t="s">
        <v>2426</v>
      </c>
      <c r="M21" s="180">
        <v>5307</v>
      </c>
      <c r="N21" s="6">
        <v>500000</v>
      </c>
      <c r="O21" s="6">
        <v>0</v>
      </c>
      <c r="P21" s="6">
        <f t="shared" si="0"/>
        <v>100000</v>
      </c>
      <c r="Q21" s="6">
        <f t="shared" si="1"/>
        <v>500000</v>
      </c>
      <c r="S21" s="181"/>
      <c r="T21" s="4" t="s">
        <v>2406</v>
      </c>
      <c r="U21" s="4" t="s">
        <v>2428</v>
      </c>
      <c r="W21" s="178">
        <v>42949</v>
      </c>
    </row>
    <row r="22" spans="1:23" ht="60" hidden="1" x14ac:dyDescent="0.25">
      <c r="A22" s="7" t="s">
        <v>2407</v>
      </c>
      <c r="B22" t="s">
        <v>2355</v>
      </c>
      <c r="C22">
        <v>5005</v>
      </c>
      <c r="D22">
        <v>16</v>
      </c>
      <c r="E22" s="176" t="s">
        <v>2356</v>
      </c>
      <c r="F22" s="171"/>
      <c r="G22" s="176"/>
      <c r="H22" s="176" t="s">
        <v>2302</v>
      </c>
      <c r="I22" s="178">
        <v>42543</v>
      </c>
      <c r="J22" s="178">
        <v>42573</v>
      </c>
      <c r="K22" s="178">
        <v>42614</v>
      </c>
      <c r="L22" s="179" t="s">
        <v>2426</v>
      </c>
      <c r="M22" s="180">
        <v>5307</v>
      </c>
      <c r="N22" s="6">
        <v>938179</v>
      </c>
      <c r="O22" s="6">
        <v>0</v>
      </c>
      <c r="P22" s="6">
        <f t="shared" si="0"/>
        <v>187635.80000000002</v>
      </c>
      <c r="Q22" s="6">
        <f t="shared" si="1"/>
        <v>938179</v>
      </c>
      <c r="S22" s="181" t="s">
        <v>2430</v>
      </c>
      <c r="T22" s="4" t="s">
        <v>2375</v>
      </c>
      <c r="U22" s="4" t="s">
        <v>2443</v>
      </c>
      <c r="W22" s="178">
        <v>42949</v>
      </c>
    </row>
    <row r="23" spans="1:23" ht="30" hidden="1" x14ac:dyDescent="0.25">
      <c r="A23" s="7" t="s">
        <v>2363</v>
      </c>
      <c r="B23" t="s">
        <v>2355</v>
      </c>
      <c r="C23">
        <v>5005</v>
      </c>
      <c r="D23">
        <v>16</v>
      </c>
      <c r="E23" s="176" t="s">
        <v>2358</v>
      </c>
      <c r="F23" s="171" t="s">
        <v>2444</v>
      </c>
      <c r="G23" s="176" t="s">
        <v>2445</v>
      </c>
      <c r="H23" s="176" t="s">
        <v>2302</v>
      </c>
      <c r="I23" s="178">
        <v>42543</v>
      </c>
      <c r="J23" s="178">
        <v>42573</v>
      </c>
      <c r="K23" s="178">
        <v>42614</v>
      </c>
      <c r="L23" s="179" t="s">
        <v>2426</v>
      </c>
      <c r="M23" s="180">
        <v>5337</v>
      </c>
      <c r="N23" s="6">
        <v>5275687</v>
      </c>
      <c r="O23" s="6">
        <v>0</v>
      </c>
      <c r="P23" s="6">
        <f>Q23*0.2</f>
        <v>1055137.4000000001</v>
      </c>
      <c r="Q23" s="6">
        <f>N23</f>
        <v>5275687</v>
      </c>
      <c r="S23" s="181"/>
      <c r="T23" s="4" t="s">
        <v>2431</v>
      </c>
      <c r="U23" s="4" t="s">
        <v>2428</v>
      </c>
      <c r="W23" s="178">
        <v>42954</v>
      </c>
    </row>
    <row r="24" spans="1:23" ht="30" hidden="1" x14ac:dyDescent="0.25">
      <c r="A24" s="7" t="s">
        <v>2363</v>
      </c>
      <c r="B24" t="s">
        <v>2355</v>
      </c>
      <c r="C24">
        <v>5005</v>
      </c>
      <c r="D24">
        <v>16</v>
      </c>
      <c r="E24" s="176" t="s">
        <v>2364</v>
      </c>
      <c r="F24" s="171" t="s">
        <v>2444</v>
      </c>
      <c r="G24" s="176" t="s">
        <v>2445</v>
      </c>
      <c r="H24" s="176" t="s">
        <v>2302</v>
      </c>
      <c r="I24" s="178"/>
      <c r="J24" s="178"/>
      <c r="K24" s="178">
        <v>42614</v>
      </c>
      <c r="L24" s="179" t="s">
        <v>2426</v>
      </c>
      <c r="M24" s="180">
        <v>5337</v>
      </c>
      <c r="N24" s="6">
        <v>2726569</v>
      </c>
      <c r="O24" s="6">
        <v>0</v>
      </c>
      <c r="P24" s="6">
        <f t="shared" ref="P24:P38" si="2">Q24*0.2</f>
        <v>545313.80000000005</v>
      </c>
      <c r="Q24" s="6">
        <f t="shared" ref="Q24:Q38" si="3">N24</f>
        <v>2726569</v>
      </c>
      <c r="S24" s="181"/>
      <c r="T24" s="4" t="s">
        <v>2431</v>
      </c>
      <c r="U24" s="4" t="s">
        <v>2428</v>
      </c>
      <c r="W24" s="178">
        <v>42954</v>
      </c>
    </row>
    <row r="25" spans="1:23" hidden="1" x14ac:dyDescent="0.25">
      <c r="A25" s="7" t="s">
        <v>2363</v>
      </c>
      <c r="B25" t="s">
        <v>2355</v>
      </c>
      <c r="C25">
        <v>5005</v>
      </c>
      <c r="D25">
        <v>16</v>
      </c>
      <c r="E25" s="171" t="s">
        <v>2358</v>
      </c>
      <c r="F25" s="171" t="s">
        <v>2429</v>
      </c>
      <c r="G25" s="176" t="s">
        <v>2435</v>
      </c>
      <c r="H25" s="176" t="s">
        <v>2302</v>
      </c>
      <c r="I25" s="178">
        <v>42543</v>
      </c>
      <c r="J25" s="178">
        <v>42573</v>
      </c>
      <c r="K25" s="178">
        <v>42614</v>
      </c>
      <c r="L25" s="179" t="s">
        <v>2426</v>
      </c>
      <c r="M25" s="180">
        <v>5337</v>
      </c>
      <c r="N25" s="6">
        <f>13362599-N26</f>
        <v>2510000</v>
      </c>
      <c r="O25" s="6">
        <v>0</v>
      </c>
      <c r="P25" s="6">
        <f t="shared" si="2"/>
        <v>502000</v>
      </c>
      <c r="Q25" s="6">
        <f t="shared" si="3"/>
        <v>2510000</v>
      </c>
      <c r="S25" s="181"/>
      <c r="T25" s="4" t="s">
        <v>2365</v>
      </c>
      <c r="U25" s="4" t="s">
        <v>2428</v>
      </c>
      <c r="W25" s="178">
        <v>42954</v>
      </c>
    </row>
    <row r="26" spans="1:23" hidden="1" x14ac:dyDescent="0.25">
      <c r="A26" s="7" t="s">
        <v>2363</v>
      </c>
      <c r="B26" t="s">
        <v>2355</v>
      </c>
      <c r="C26">
        <v>5005</v>
      </c>
      <c r="D26">
        <v>16</v>
      </c>
      <c r="E26" s="171" t="s">
        <v>2364</v>
      </c>
      <c r="F26" s="171" t="s">
        <v>2446</v>
      </c>
      <c r="G26" s="176" t="s">
        <v>2435</v>
      </c>
      <c r="H26" s="176" t="s">
        <v>2302</v>
      </c>
      <c r="I26" s="178">
        <v>42572</v>
      </c>
      <c r="J26" s="178">
        <v>42572</v>
      </c>
      <c r="K26" s="178">
        <v>42614</v>
      </c>
      <c r="L26" s="179" t="s">
        <v>2426</v>
      </c>
      <c r="M26" s="180">
        <v>5337</v>
      </c>
      <c r="N26" s="6">
        <f>7852599+3000000</f>
        <v>10852599</v>
      </c>
      <c r="O26" s="6">
        <v>0</v>
      </c>
      <c r="P26" s="6">
        <f t="shared" si="2"/>
        <v>2170519.8000000003</v>
      </c>
      <c r="Q26" s="6">
        <f t="shared" si="3"/>
        <v>10852599</v>
      </c>
      <c r="R26" s="6">
        <v>8973122</v>
      </c>
      <c r="S26" s="181"/>
      <c r="T26" s="4" t="s">
        <v>2366</v>
      </c>
      <c r="U26" s="4" t="s">
        <v>2428</v>
      </c>
      <c r="W26" s="178">
        <v>42961</v>
      </c>
    </row>
    <row r="27" spans="1:23" ht="30" hidden="1" x14ac:dyDescent="0.25">
      <c r="A27" s="7" t="s">
        <v>2354</v>
      </c>
      <c r="B27" t="s">
        <v>2355</v>
      </c>
      <c r="C27">
        <v>5005</v>
      </c>
      <c r="D27">
        <v>16</v>
      </c>
      <c r="E27" s="176" t="s">
        <v>2358</v>
      </c>
      <c r="F27" s="171" t="s">
        <v>2447</v>
      </c>
      <c r="G27" s="176"/>
      <c r="H27" s="176" t="s">
        <v>2302</v>
      </c>
      <c r="I27" s="178">
        <v>42543</v>
      </c>
      <c r="J27" s="178">
        <v>42573</v>
      </c>
      <c r="K27" s="178">
        <v>42614</v>
      </c>
      <c r="L27" s="179" t="s">
        <v>2426</v>
      </c>
      <c r="M27" s="180">
        <v>5337</v>
      </c>
      <c r="N27" s="6">
        <v>14820316</v>
      </c>
      <c r="O27" s="6">
        <v>0</v>
      </c>
      <c r="P27" s="6">
        <f t="shared" si="2"/>
        <v>2964063.2</v>
      </c>
      <c r="Q27" s="6">
        <f t="shared" si="3"/>
        <v>14820316</v>
      </c>
      <c r="S27" s="181"/>
      <c r="T27" s="4" t="s">
        <v>2357</v>
      </c>
      <c r="U27" s="4" t="s">
        <v>2428</v>
      </c>
      <c r="W27" s="178">
        <v>42954</v>
      </c>
    </row>
    <row r="28" spans="1:23" hidden="1" x14ac:dyDescent="0.25">
      <c r="A28" s="7" t="s">
        <v>2359</v>
      </c>
      <c r="B28" t="s">
        <v>2355</v>
      </c>
      <c r="C28">
        <v>5005</v>
      </c>
      <c r="D28">
        <v>16</v>
      </c>
      <c r="E28" s="176" t="s">
        <v>2358</v>
      </c>
      <c r="F28" s="171" t="s">
        <v>2448</v>
      </c>
      <c r="G28" s="176" t="s">
        <v>2449</v>
      </c>
      <c r="H28" s="176" t="s">
        <v>2302</v>
      </c>
      <c r="I28" s="178">
        <v>42543</v>
      </c>
      <c r="J28" s="178">
        <v>42573</v>
      </c>
      <c r="K28" s="178">
        <v>42614</v>
      </c>
      <c r="L28" s="179" t="s">
        <v>2426</v>
      </c>
      <c r="M28" s="180">
        <v>5337</v>
      </c>
      <c r="N28" s="6">
        <v>11747000</v>
      </c>
      <c r="O28" s="6">
        <v>0</v>
      </c>
      <c r="P28" s="6">
        <f t="shared" si="2"/>
        <v>2349400</v>
      </c>
      <c r="Q28" s="6">
        <f t="shared" si="3"/>
        <v>11747000</v>
      </c>
      <c r="S28" s="181"/>
      <c r="T28" s="4" t="s">
        <v>2450</v>
      </c>
      <c r="U28" s="4" t="s">
        <v>2428</v>
      </c>
      <c r="W28" s="178">
        <v>42954</v>
      </c>
    </row>
    <row r="29" spans="1:23" ht="30" hidden="1" x14ac:dyDescent="0.25">
      <c r="A29" s="7" t="s">
        <v>2360</v>
      </c>
      <c r="B29" t="s">
        <v>2355</v>
      </c>
      <c r="C29">
        <v>5005</v>
      </c>
      <c r="D29">
        <v>16</v>
      </c>
      <c r="E29" s="176" t="s">
        <v>2358</v>
      </c>
      <c r="F29" s="171" t="s">
        <v>2447</v>
      </c>
      <c r="G29" s="176"/>
      <c r="H29" s="176" t="s">
        <v>2302</v>
      </c>
      <c r="I29" s="178">
        <v>42543</v>
      </c>
      <c r="J29" s="178">
        <v>42573</v>
      </c>
      <c r="K29" s="178">
        <v>42614</v>
      </c>
      <c r="L29" s="179" t="s">
        <v>2426</v>
      </c>
      <c r="M29" s="180">
        <v>5337</v>
      </c>
      <c r="N29" s="6">
        <v>12358000</v>
      </c>
      <c r="O29" s="6">
        <v>0</v>
      </c>
      <c r="P29" s="6">
        <f t="shared" si="2"/>
        <v>2471600</v>
      </c>
      <c r="Q29" s="6">
        <f t="shared" si="3"/>
        <v>12358000</v>
      </c>
      <c r="S29" s="181"/>
      <c r="T29" s="4" t="s">
        <v>2362</v>
      </c>
      <c r="U29" s="4" t="s">
        <v>2428</v>
      </c>
      <c r="W29" s="178">
        <v>42954</v>
      </c>
    </row>
    <row r="30" spans="1:23" hidden="1" x14ac:dyDescent="0.25">
      <c r="A30" s="7" t="s">
        <v>2378</v>
      </c>
      <c r="B30" t="s">
        <v>2355</v>
      </c>
      <c r="C30">
        <v>5005</v>
      </c>
      <c r="D30">
        <v>16</v>
      </c>
      <c r="E30" s="176" t="s">
        <v>2358</v>
      </c>
      <c r="F30" s="171" t="s">
        <v>2429</v>
      </c>
      <c r="G30" s="176" t="s">
        <v>2449</v>
      </c>
      <c r="H30" s="176" t="s">
        <v>2302</v>
      </c>
      <c r="I30" s="178">
        <v>42543</v>
      </c>
      <c r="J30" s="178">
        <v>42573</v>
      </c>
      <c r="K30" s="178">
        <v>42614</v>
      </c>
      <c r="L30" s="179" t="s">
        <v>2426</v>
      </c>
      <c r="M30" s="180">
        <v>5337</v>
      </c>
      <c r="N30" s="6">
        <v>1000000</v>
      </c>
      <c r="O30" s="6">
        <v>0</v>
      </c>
      <c r="P30" s="6">
        <f t="shared" si="2"/>
        <v>200000</v>
      </c>
      <c r="Q30" s="6">
        <f t="shared" si="3"/>
        <v>1000000</v>
      </c>
      <c r="S30" s="181"/>
      <c r="T30" s="4" t="s">
        <v>2451</v>
      </c>
      <c r="U30" s="4" t="s">
        <v>2428</v>
      </c>
      <c r="W30" s="178">
        <v>42954</v>
      </c>
    </row>
    <row r="31" spans="1:23" hidden="1" x14ac:dyDescent="0.25">
      <c r="A31" s="7" t="s">
        <v>2379</v>
      </c>
      <c r="B31" t="s">
        <v>2355</v>
      </c>
      <c r="C31">
        <v>5005</v>
      </c>
      <c r="D31">
        <v>16</v>
      </c>
      <c r="E31" s="176" t="s">
        <v>2358</v>
      </c>
      <c r="F31" s="171" t="s">
        <v>2452</v>
      </c>
      <c r="G31" s="176"/>
      <c r="H31" s="176" t="s">
        <v>2302</v>
      </c>
      <c r="I31" s="178">
        <v>42543</v>
      </c>
      <c r="J31" s="178">
        <v>42573</v>
      </c>
      <c r="K31" s="178">
        <v>42614</v>
      </c>
      <c r="L31" s="179" t="s">
        <v>2426</v>
      </c>
      <c r="M31" s="180">
        <v>5337</v>
      </c>
      <c r="N31" s="6">
        <v>1600000</v>
      </c>
      <c r="O31" s="6">
        <v>0</v>
      </c>
      <c r="P31" s="6">
        <f t="shared" si="2"/>
        <v>320000</v>
      </c>
      <c r="Q31" s="6">
        <f t="shared" si="3"/>
        <v>1600000</v>
      </c>
      <c r="S31" s="181"/>
      <c r="T31" s="4" t="s">
        <v>2357</v>
      </c>
      <c r="U31" s="4" t="s">
        <v>2428</v>
      </c>
      <c r="W31" s="178">
        <v>42954</v>
      </c>
    </row>
    <row r="32" spans="1:23" ht="30" hidden="1" x14ac:dyDescent="0.25">
      <c r="A32" s="7" t="s">
        <v>2381</v>
      </c>
      <c r="B32" t="s">
        <v>2355</v>
      </c>
      <c r="C32">
        <v>5005</v>
      </c>
      <c r="D32">
        <v>16</v>
      </c>
      <c r="E32" s="176" t="s">
        <v>2358</v>
      </c>
      <c r="F32" s="171" t="s">
        <v>2447</v>
      </c>
      <c r="G32" s="176"/>
      <c r="H32" s="176" t="s">
        <v>2302</v>
      </c>
      <c r="I32" s="178">
        <v>42543</v>
      </c>
      <c r="J32" s="178">
        <v>42573</v>
      </c>
      <c r="K32" s="178">
        <v>42614</v>
      </c>
      <c r="L32" s="179" t="s">
        <v>2426</v>
      </c>
      <c r="M32" s="180">
        <v>5337</v>
      </c>
      <c r="N32" s="6">
        <f>5500000+500000</f>
        <v>6000000</v>
      </c>
      <c r="O32" s="6">
        <v>0</v>
      </c>
      <c r="P32" s="6">
        <f t="shared" si="2"/>
        <v>1200000</v>
      </c>
      <c r="Q32" s="6">
        <f t="shared" si="3"/>
        <v>6000000</v>
      </c>
      <c r="S32" s="181"/>
      <c r="T32" s="4" t="s">
        <v>2453</v>
      </c>
      <c r="U32" s="4" t="s">
        <v>2428</v>
      </c>
      <c r="W32" s="178">
        <v>42954</v>
      </c>
    </row>
    <row r="33" spans="1:23" ht="30" hidden="1" x14ac:dyDescent="0.25">
      <c r="A33" s="7" t="s">
        <v>2382</v>
      </c>
      <c r="B33" t="s">
        <v>2355</v>
      </c>
      <c r="C33">
        <v>5005</v>
      </c>
      <c r="D33">
        <v>16</v>
      </c>
      <c r="E33" s="176" t="s">
        <v>2358</v>
      </c>
      <c r="F33" s="171" t="s">
        <v>2447</v>
      </c>
      <c r="G33" s="176"/>
      <c r="H33" s="176" t="s">
        <v>2302</v>
      </c>
      <c r="I33" s="178">
        <v>42543</v>
      </c>
      <c r="J33" s="178">
        <v>42573</v>
      </c>
      <c r="K33" s="178">
        <v>42614</v>
      </c>
      <c r="L33" s="179" t="s">
        <v>2426</v>
      </c>
      <c r="M33" s="180">
        <v>5337</v>
      </c>
      <c r="N33" s="6">
        <v>5300000</v>
      </c>
      <c r="O33" s="6">
        <v>0</v>
      </c>
      <c r="P33" s="6">
        <f t="shared" si="2"/>
        <v>1060000</v>
      </c>
      <c r="Q33" s="6">
        <f t="shared" si="3"/>
        <v>5300000</v>
      </c>
      <c r="S33" s="181"/>
      <c r="T33" s="4" t="s">
        <v>2383</v>
      </c>
      <c r="U33" s="4" t="s">
        <v>2428</v>
      </c>
      <c r="W33" s="178">
        <v>42954</v>
      </c>
    </row>
    <row r="34" spans="1:23" ht="30" hidden="1" x14ac:dyDescent="0.25">
      <c r="A34" s="7" t="s">
        <v>2386</v>
      </c>
      <c r="B34" t="s">
        <v>2355</v>
      </c>
      <c r="C34">
        <v>5005</v>
      </c>
      <c r="D34">
        <v>16</v>
      </c>
      <c r="E34" s="176" t="s">
        <v>2358</v>
      </c>
      <c r="F34" s="171" t="s">
        <v>2454</v>
      </c>
      <c r="G34" s="176"/>
      <c r="H34" s="176" t="s">
        <v>2302</v>
      </c>
      <c r="I34" s="178">
        <v>42543</v>
      </c>
      <c r="J34" s="178">
        <v>42573</v>
      </c>
      <c r="K34" s="178">
        <v>42614</v>
      </c>
      <c r="L34" s="179" t="s">
        <v>2426</v>
      </c>
      <c r="M34" s="180">
        <v>5337</v>
      </c>
      <c r="N34" s="6">
        <v>4000000</v>
      </c>
      <c r="O34" s="6">
        <v>0</v>
      </c>
      <c r="P34" s="6">
        <f t="shared" si="2"/>
        <v>800000</v>
      </c>
      <c r="Q34" s="6">
        <f t="shared" si="3"/>
        <v>4000000</v>
      </c>
      <c r="S34" s="181"/>
      <c r="T34" s="4" t="s">
        <v>2387</v>
      </c>
      <c r="U34" s="4" t="s">
        <v>2428</v>
      </c>
      <c r="W34" s="178">
        <v>42954</v>
      </c>
    </row>
    <row r="35" spans="1:23" ht="30" hidden="1" x14ac:dyDescent="0.25">
      <c r="A35" s="7" t="s">
        <v>2388</v>
      </c>
      <c r="B35" t="s">
        <v>2355</v>
      </c>
      <c r="C35">
        <v>5005</v>
      </c>
      <c r="D35">
        <v>16</v>
      </c>
      <c r="E35" s="176" t="s">
        <v>2358</v>
      </c>
      <c r="F35" s="171" t="s">
        <v>2454</v>
      </c>
      <c r="G35" s="176"/>
      <c r="H35" s="176" t="s">
        <v>2302</v>
      </c>
      <c r="I35" s="178">
        <v>42543</v>
      </c>
      <c r="J35" s="178">
        <v>42573</v>
      </c>
      <c r="K35" s="178">
        <v>42614</v>
      </c>
      <c r="L35" s="179" t="s">
        <v>2426</v>
      </c>
      <c r="M35" s="180">
        <v>5337</v>
      </c>
      <c r="N35" s="6">
        <v>3900000</v>
      </c>
      <c r="O35" s="6">
        <v>0</v>
      </c>
      <c r="P35" s="6">
        <f t="shared" si="2"/>
        <v>780000</v>
      </c>
      <c r="Q35" s="6">
        <f t="shared" si="3"/>
        <v>3900000</v>
      </c>
      <c r="S35" s="181"/>
      <c r="T35" s="4" t="s">
        <v>2389</v>
      </c>
      <c r="U35" s="4" t="s">
        <v>2428</v>
      </c>
      <c r="W35" s="178">
        <v>42954</v>
      </c>
    </row>
    <row r="36" spans="1:23" ht="30" hidden="1" x14ac:dyDescent="0.25">
      <c r="A36" s="7" t="s">
        <v>2390</v>
      </c>
      <c r="B36" t="s">
        <v>2355</v>
      </c>
      <c r="C36">
        <v>5005</v>
      </c>
      <c r="D36">
        <v>16</v>
      </c>
      <c r="E36" s="176" t="s">
        <v>2358</v>
      </c>
      <c r="F36" s="171" t="s">
        <v>2448</v>
      </c>
      <c r="G36" s="176"/>
      <c r="H36" s="176" t="s">
        <v>2302</v>
      </c>
      <c r="I36" s="178">
        <v>42543</v>
      </c>
      <c r="J36" s="178">
        <v>42573</v>
      </c>
      <c r="K36" s="178">
        <v>42614</v>
      </c>
      <c r="L36" s="179" t="s">
        <v>2426</v>
      </c>
      <c r="M36" s="180">
        <v>5337</v>
      </c>
      <c r="N36" s="6">
        <v>2188000</v>
      </c>
      <c r="O36" s="6">
        <v>0</v>
      </c>
      <c r="P36" s="6">
        <f t="shared" si="2"/>
        <v>437600</v>
      </c>
      <c r="Q36" s="6">
        <f t="shared" si="3"/>
        <v>2188000</v>
      </c>
      <c r="S36" s="181"/>
      <c r="T36" s="4" t="s">
        <v>2455</v>
      </c>
      <c r="U36" s="4" t="s">
        <v>2428</v>
      </c>
      <c r="W36" s="178">
        <v>42954</v>
      </c>
    </row>
    <row r="37" spans="1:23" hidden="1" x14ac:dyDescent="0.25">
      <c r="A37" s="7" t="s">
        <v>2391</v>
      </c>
      <c r="B37" t="s">
        <v>2355</v>
      </c>
      <c r="C37">
        <v>5005</v>
      </c>
      <c r="D37">
        <v>16</v>
      </c>
      <c r="E37" s="176" t="s">
        <v>2358</v>
      </c>
      <c r="F37" s="171" t="s">
        <v>2448</v>
      </c>
      <c r="G37" s="176"/>
      <c r="H37" s="176" t="s">
        <v>2302</v>
      </c>
      <c r="I37" s="178">
        <v>42543</v>
      </c>
      <c r="J37" s="178">
        <v>42573</v>
      </c>
      <c r="K37" s="178">
        <v>42614</v>
      </c>
      <c r="L37" s="179" t="s">
        <v>2426</v>
      </c>
      <c r="M37" s="180">
        <v>5337</v>
      </c>
      <c r="N37" s="6">
        <v>1000000</v>
      </c>
      <c r="O37" s="6">
        <v>0</v>
      </c>
      <c r="P37" s="6">
        <f t="shared" si="2"/>
        <v>200000</v>
      </c>
      <c r="Q37" s="6">
        <f t="shared" si="3"/>
        <v>1000000</v>
      </c>
      <c r="S37" s="181"/>
      <c r="T37" s="4" t="s">
        <v>2392</v>
      </c>
      <c r="U37" s="4" t="s">
        <v>2428</v>
      </c>
      <c r="W37" s="178">
        <v>42954</v>
      </c>
    </row>
    <row r="38" spans="1:23" ht="30" hidden="1" x14ac:dyDescent="0.25">
      <c r="A38" s="7" t="s">
        <v>2393</v>
      </c>
      <c r="B38" t="s">
        <v>2355</v>
      </c>
      <c r="C38">
        <v>5005</v>
      </c>
      <c r="D38">
        <v>16</v>
      </c>
      <c r="E38" s="176" t="s">
        <v>2358</v>
      </c>
      <c r="F38" s="171" t="s">
        <v>2448</v>
      </c>
      <c r="G38" s="176"/>
      <c r="H38" s="176" t="s">
        <v>2302</v>
      </c>
      <c r="I38" s="178">
        <v>42543</v>
      </c>
      <c r="J38" s="178">
        <v>42573</v>
      </c>
      <c r="K38" s="178">
        <v>42614</v>
      </c>
      <c r="L38" s="179" t="s">
        <v>2426</v>
      </c>
      <c r="M38" s="180">
        <v>5337</v>
      </c>
      <c r="N38" s="6">
        <v>1177000</v>
      </c>
      <c r="O38" s="6">
        <v>0</v>
      </c>
      <c r="P38" s="6">
        <f t="shared" si="2"/>
        <v>235400</v>
      </c>
      <c r="Q38" s="6">
        <f t="shared" si="3"/>
        <v>1177000</v>
      </c>
      <c r="S38" s="181"/>
      <c r="T38" s="4" t="s">
        <v>2455</v>
      </c>
      <c r="U38" s="4" t="s">
        <v>2428</v>
      </c>
      <c r="W38" s="178">
        <v>42954</v>
      </c>
    </row>
    <row r="39" spans="1:23" hidden="1" x14ac:dyDescent="0.25">
      <c r="A39" s="7" t="s">
        <v>2399</v>
      </c>
      <c r="B39" t="s">
        <v>2355</v>
      </c>
      <c r="C39">
        <v>5005</v>
      </c>
      <c r="D39">
        <v>16</v>
      </c>
      <c r="E39" s="176" t="s">
        <v>2358</v>
      </c>
      <c r="F39" s="176" t="s">
        <v>2432</v>
      </c>
      <c r="G39" s="176" t="s">
        <v>2456</v>
      </c>
      <c r="H39" s="176" t="s">
        <v>2302</v>
      </c>
      <c r="I39" s="178">
        <v>42543</v>
      </c>
      <c r="J39" s="178">
        <v>42573</v>
      </c>
      <c r="K39" s="178">
        <v>42614</v>
      </c>
      <c r="L39" s="180" t="s">
        <v>2426</v>
      </c>
      <c r="M39" s="180">
        <v>5337</v>
      </c>
      <c r="N39" s="6">
        <v>1000000</v>
      </c>
      <c r="O39" s="6">
        <v>0</v>
      </c>
      <c r="P39" s="6">
        <v>200000</v>
      </c>
      <c r="Q39" s="6">
        <v>1000000</v>
      </c>
      <c r="T39" s="5" t="s">
        <v>2457</v>
      </c>
      <c r="U39" s="4" t="s">
        <v>2428</v>
      </c>
      <c r="W39" s="178">
        <v>42957</v>
      </c>
    </row>
    <row r="40" spans="1:23" hidden="1" x14ac:dyDescent="0.25">
      <c r="A40" s="7" t="s">
        <v>2403</v>
      </c>
      <c r="B40" t="s">
        <v>2355</v>
      </c>
      <c r="C40">
        <v>5005</v>
      </c>
      <c r="D40">
        <v>16</v>
      </c>
      <c r="E40" s="176" t="s">
        <v>2358</v>
      </c>
      <c r="F40" s="171" t="s">
        <v>2458</v>
      </c>
      <c r="G40" s="176" t="s">
        <v>2459</v>
      </c>
      <c r="H40" s="176" t="s">
        <v>2302</v>
      </c>
      <c r="I40" s="178">
        <v>42543</v>
      </c>
      <c r="J40" s="178">
        <v>42573</v>
      </c>
      <c r="K40" s="178">
        <v>42614</v>
      </c>
      <c r="L40" s="179" t="s">
        <v>2426</v>
      </c>
      <c r="M40" s="180">
        <v>5337</v>
      </c>
      <c r="N40" s="6">
        <v>3750331</v>
      </c>
      <c r="O40" s="6">
        <v>0</v>
      </c>
      <c r="P40" s="6">
        <f>Q40*0.2</f>
        <v>750066.20000000007</v>
      </c>
      <c r="Q40" s="6">
        <f>N40</f>
        <v>3750331</v>
      </c>
      <c r="R40" s="6">
        <v>1814</v>
      </c>
      <c r="S40" s="181"/>
      <c r="T40" s="4" t="s">
        <v>2460</v>
      </c>
      <c r="U40" s="4" t="s">
        <v>2428</v>
      </c>
      <c r="W40" s="178">
        <v>42957</v>
      </c>
    </row>
    <row r="41" spans="1:23" hidden="1" x14ac:dyDescent="0.25">
      <c r="A41" s="7" t="s">
        <v>2405</v>
      </c>
      <c r="B41" t="s">
        <v>2355</v>
      </c>
      <c r="C41">
        <v>5005</v>
      </c>
      <c r="D41">
        <v>16</v>
      </c>
      <c r="E41" s="176" t="s">
        <v>2358</v>
      </c>
      <c r="F41" s="171" t="s">
        <v>2429</v>
      </c>
      <c r="G41" s="176" t="s">
        <v>2461</v>
      </c>
      <c r="H41" s="176" t="s">
        <v>2302</v>
      </c>
      <c r="I41" s="178">
        <v>42543</v>
      </c>
      <c r="J41" s="178">
        <v>42573</v>
      </c>
      <c r="K41" s="178">
        <v>42614</v>
      </c>
      <c r="L41" s="179" t="s">
        <v>2426</v>
      </c>
      <c r="M41" s="180">
        <v>5337</v>
      </c>
      <c r="N41" s="6">
        <v>1076944</v>
      </c>
      <c r="O41" s="6">
        <v>0</v>
      </c>
      <c r="P41" s="6">
        <f>Q41*0.2</f>
        <v>215388.80000000002</v>
      </c>
      <c r="Q41" s="6">
        <f>N41</f>
        <v>1076944</v>
      </c>
      <c r="S41" s="181"/>
      <c r="T41" s="4" t="s">
        <v>2462</v>
      </c>
      <c r="U41" s="4" t="s">
        <v>2428</v>
      </c>
      <c r="W41" s="178">
        <v>42957</v>
      </c>
    </row>
    <row r="42" spans="1:23" hidden="1" x14ac:dyDescent="0.25">
      <c r="A42" s="7" t="s">
        <v>2407</v>
      </c>
      <c r="B42" t="s">
        <v>2355</v>
      </c>
      <c r="C42">
        <v>5005</v>
      </c>
      <c r="D42">
        <v>16</v>
      </c>
      <c r="E42" s="176" t="s">
        <v>2358</v>
      </c>
      <c r="F42" s="171" t="s">
        <v>2429</v>
      </c>
      <c r="G42" s="176" t="s">
        <v>2463</v>
      </c>
      <c r="H42" s="176" t="s">
        <v>2302</v>
      </c>
      <c r="I42" s="178">
        <v>42543</v>
      </c>
      <c r="J42" s="178">
        <v>42573</v>
      </c>
      <c r="K42" s="178">
        <v>42614</v>
      </c>
      <c r="L42" s="179" t="s">
        <v>2426</v>
      </c>
      <c r="M42" s="180">
        <v>5337</v>
      </c>
      <c r="N42" s="6">
        <f>861421+400000</f>
        <v>1261421</v>
      </c>
      <c r="O42" s="6">
        <v>0</v>
      </c>
      <c r="P42" s="6">
        <f>Q42*0.2</f>
        <v>252284.2</v>
      </c>
      <c r="Q42" s="6">
        <f>N42</f>
        <v>1261421</v>
      </c>
      <c r="S42" s="181"/>
      <c r="T42" s="4" t="s">
        <v>2375</v>
      </c>
      <c r="U42" s="4" t="s">
        <v>2428</v>
      </c>
      <c r="W42" s="178">
        <v>42957</v>
      </c>
    </row>
    <row r="43" spans="1:23" ht="30" hidden="1" x14ac:dyDescent="0.25">
      <c r="A43" s="7" t="s">
        <v>2376</v>
      </c>
      <c r="B43" t="s">
        <v>2355</v>
      </c>
      <c r="C43">
        <v>5005</v>
      </c>
      <c r="D43">
        <v>16</v>
      </c>
      <c r="E43" s="176" t="s">
        <v>2377</v>
      </c>
      <c r="F43" s="171" t="s">
        <v>2464</v>
      </c>
      <c r="G43" s="176" t="s">
        <v>2465</v>
      </c>
      <c r="H43" s="182">
        <v>42578</v>
      </c>
      <c r="I43" s="178">
        <v>42524</v>
      </c>
      <c r="J43" s="178">
        <v>42572</v>
      </c>
      <c r="K43" s="178">
        <v>42636</v>
      </c>
      <c r="L43" s="179" t="s">
        <v>2426</v>
      </c>
      <c r="M43" s="180" t="s">
        <v>2284</v>
      </c>
      <c r="N43" s="6">
        <v>8800000</v>
      </c>
      <c r="O43" s="6">
        <v>2200000</v>
      </c>
      <c r="P43" s="6">
        <v>0</v>
      </c>
      <c r="Q43" s="6">
        <v>11000000</v>
      </c>
      <c r="R43" s="6">
        <v>0</v>
      </c>
      <c r="S43" s="5"/>
      <c r="T43" s="4" t="s">
        <v>2466</v>
      </c>
      <c r="U43" s="4" t="s">
        <v>2428</v>
      </c>
      <c r="W43" s="178">
        <v>42956</v>
      </c>
    </row>
    <row r="44" spans="1:23" hidden="1" x14ac:dyDescent="0.25">
      <c r="A44" s="8" t="s">
        <v>2374</v>
      </c>
      <c r="B44" t="s">
        <v>2355</v>
      </c>
      <c r="C44">
        <v>5005</v>
      </c>
      <c r="D44">
        <v>16</v>
      </c>
      <c r="E44" s="176" t="s">
        <v>2368</v>
      </c>
      <c r="F44" s="176" t="s">
        <v>2467</v>
      </c>
      <c r="G44" s="176"/>
      <c r="I44" s="178">
        <v>42572</v>
      </c>
      <c r="J44" s="178">
        <v>42573</v>
      </c>
      <c r="K44" s="178">
        <v>42614</v>
      </c>
      <c r="L44" s="179" t="s">
        <v>2426</v>
      </c>
      <c r="M44" s="180">
        <v>5307</v>
      </c>
      <c r="N44" s="6">
        <v>0</v>
      </c>
      <c r="O44" s="6">
        <v>0</v>
      </c>
      <c r="P44" s="6">
        <f>N44*0.2</f>
        <v>0</v>
      </c>
      <c r="Q44" s="6">
        <f>N44</f>
        <v>0</v>
      </c>
      <c r="R44" s="6">
        <v>0</v>
      </c>
      <c r="S44" s="5"/>
      <c r="T44" s="4" t="s">
        <v>2468</v>
      </c>
      <c r="U44" s="4" t="s">
        <v>2428</v>
      </c>
      <c r="W44" s="178">
        <v>42956</v>
      </c>
    </row>
    <row r="45" spans="1:23" ht="30" hidden="1" x14ac:dyDescent="0.25">
      <c r="A45" s="8" t="s">
        <v>2363</v>
      </c>
      <c r="B45" t="s">
        <v>2355</v>
      </c>
      <c r="C45">
        <v>5005</v>
      </c>
      <c r="D45">
        <v>16</v>
      </c>
      <c r="E45" s="176" t="s">
        <v>2368</v>
      </c>
      <c r="F45" s="176" t="s">
        <v>2429</v>
      </c>
      <c r="G45" s="171" t="s">
        <v>2469</v>
      </c>
      <c r="I45" s="178">
        <v>42572</v>
      </c>
      <c r="J45" s="178">
        <v>42573</v>
      </c>
      <c r="K45" s="178">
        <v>42614</v>
      </c>
      <c r="L45" s="179" t="s">
        <v>2426</v>
      </c>
      <c r="M45" s="180">
        <v>5307</v>
      </c>
      <c r="N45" s="183">
        <f>610000+3028899</f>
        <v>3638899</v>
      </c>
      <c r="O45" s="6">
        <v>0</v>
      </c>
      <c r="P45" s="6">
        <f>N45*0.2</f>
        <v>727779.8</v>
      </c>
      <c r="Q45" s="6">
        <f>N45</f>
        <v>3638899</v>
      </c>
      <c r="R45" s="6">
        <v>3476531</v>
      </c>
      <c r="S45" s="5"/>
      <c r="T45" s="4" t="s">
        <v>2367</v>
      </c>
      <c r="U45" s="4" t="s">
        <v>2470</v>
      </c>
      <c r="W45" s="178">
        <v>42956</v>
      </c>
    </row>
    <row r="46" spans="1:23" hidden="1" x14ac:dyDescent="0.25">
      <c r="A46" s="8" t="s">
        <v>2471</v>
      </c>
      <c r="B46" t="s">
        <v>2355</v>
      </c>
      <c r="C46">
        <v>5005</v>
      </c>
      <c r="D46">
        <v>16</v>
      </c>
      <c r="E46" s="176" t="s">
        <v>2368</v>
      </c>
      <c r="F46" s="176" t="s">
        <v>2429</v>
      </c>
      <c r="G46" s="176" t="s">
        <v>2472</v>
      </c>
      <c r="I46" s="178">
        <v>42572</v>
      </c>
      <c r="J46" s="178">
        <v>42573</v>
      </c>
      <c r="K46" s="178">
        <v>42614</v>
      </c>
      <c r="L46" s="179" t="s">
        <v>2426</v>
      </c>
      <c r="M46" s="180">
        <v>5307</v>
      </c>
      <c r="N46" s="6">
        <v>36689</v>
      </c>
      <c r="O46" s="6">
        <v>0</v>
      </c>
      <c r="P46" s="6">
        <v>7338</v>
      </c>
      <c r="Q46" s="6">
        <v>36689</v>
      </c>
      <c r="R46" s="6">
        <v>0</v>
      </c>
      <c r="S46" s="5"/>
      <c r="T46" s="4" t="s">
        <v>2375</v>
      </c>
      <c r="U46" s="4" t="s">
        <v>2428</v>
      </c>
      <c r="W46" s="178">
        <v>42957</v>
      </c>
    </row>
    <row r="47" spans="1:23" hidden="1" x14ac:dyDescent="0.25">
      <c r="A47" s="7" t="s">
        <v>2326</v>
      </c>
      <c r="B47" t="s">
        <v>2288</v>
      </c>
      <c r="C47">
        <v>1182</v>
      </c>
      <c r="D47">
        <v>16</v>
      </c>
      <c r="E47" s="176" t="s">
        <v>2473</v>
      </c>
      <c r="F47" s="176" t="s">
        <v>2474</v>
      </c>
      <c r="G47" s="176"/>
      <c r="I47" s="178">
        <v>42507</v>
      </c>
      <c r="J47" s="178">
        <v>42921</v>
      </c>
      <c r="K47" s="178">
        <v>42618</v>
      </c>
      <c r="L47" s="179" t="s">
        <v>2426</v>
      </c>
      <c r="M47" s="180">
        <v>5337</v>
      </c>
      <c r="N47" s="6">
        <v>0</v>
      </c>
      <c r="O47" s="6">
        <v>0</v>
      </c>
      <c r="P47" s="6">
        <f>Q47*0.2</f>
        <v>0</v>
      </c>
      <c r="Q47" s="6">
        <v>0</v>
      </c>
      <c r="S47" s="5"/>
      <c r="T47" s="4" t="s">
        <v>2475</v>
      </c>
      <c r="U47" s="4" t="s">
        <v>2476</v>
      </c>
      <c r="W47" s="178">
        <v>42956</v>
      </c>
    </row>
    <row r="48" spans="1:23" hidden="1" x14ac:dyDescent="0.25">
      <c r="A48" s="7" t="s">
        <v>2326</v>
      </c>
      <c r="B48" t="s">
        <v>2288</v>
      </c>
      <c r="C48">
        <v>1182</v>
      </c>
      <c r="D48">
        <v>16</v>
      </c>
      <c r="E48" s="176" t="s">
        <v>2473</v>
      </c>
      <c r="F48" s="176" t="s">
        <v>2477</v>
      </c>
      <c r="G48" s="176"/>
      <c r="I48" s="178">
        <v>42507</v>
      </c>
      <c r="J48" s="178">
        <v>42921</v>
      </c>
      <c r="K48" s="178">
        <v>42618</v>
      </c>
      <c r="L48" s="179" t="s">
        <v>2426</v>
      </c>
      <c r="M48" s="180">
        <v>5337</v>
      </c>
      <c r="N48" s="6">
        <v>0</v>
      </c>
      <c r="O48" s="6">
        <v>0</v>
      </c>
      <c r="P48" s="6">
        <f>Q48*0.2</f>
        <v>0</v>
      </c>
      <c r="Q48" s="6">
        <v>0</v>
      </c>
      <c r="S48" s="5"/>
      <c r="T48" s="4" t="s">
        <v>2475</v>
      </c>
      <c r="U48" s="4" t="s">
        <v>2476</v>
      </c>
      <c r="W48" s="178">
        <v>42956</v>
      </c>
    </row>
    <row r="49" spans="1:23" hidden="1" x14ac:dyDescent="0.25">
      <c r="A49" s="7" t="s">
        <v>2303</v>
      </c>
      <c r="B49" t="s">
        <v>2288</v>
      </c>
      <c r="C49">
        <v>1182</v>
      </c>
      <c r="D49">
        <v>16</v>
      </c>
      <c r="E49" s="176" t="s">
        <v>2304</v>
      </c>
      <c r="F49" s="176" t="s">
        <v>2478</v>
      </c>
      <c r="G49" s="176" t="s">
        <v>2479</v>
      </c>
      <c r="I49" s="178">
        <v>42507</v>
      </c>
      <c r="J49" s="178">
        <v>42720</v>
      </c>
      <c r="K49" s="178">
        <v>42618</v>
      </c>
      <c r="L49" s="179" t="s">
        <v>2426</v>
      </c>
      <c r="M49" s="180">
        <v>5337</v>
      </c>
      <c r="N49" s="6">
        <v>7407882</v>
      </c>
      <c r="O49" s="6">
        <v>0</v>
      </c>
      <c r="P49" s="6">
        <f t="shared" ref="P49:P50" si="4">Q49*0.2</f>
        <v>1481576.4000000001</v>
      </c>
      <c r="Q49" s="6">
        <v>7407882</v>
      </c>
      <c r="R49" s="6">
        <v>2384584</v>
      </c>
      <c r="S49" s="5"/>
      <c r="T49" s="4" t="s">
        <v>2480</v>
      </c>
      <c r="U49" s="4" t="s">
        <v>2428</v>
      </c>
      <c r="W49" s="178">
        <v>42956</v>
      </c>
    </row>
    <row r="50" spans="1:23" hidden="1" x14ac:dyDescent="0.25">
      <c r="A50" s="7" t="s">
        <v>2303</v>
      </c>
      <c r="B50" t="s">
        <v>2288</v>
      </c>
      <c r="C50">
        <v>1182</v>
      </c>
      <c r="D50">
        <v>16</v>
      </c>
      <c r="E50" s="176" t="s">
        <v>2304</v>
      </c>
      <c r="F50" s="176" t="s">
        <v>2481</v>
      </c>
      <c r="G50" s="176" t="s">
        <v>2482</v>
      </c>
      <c r="I50" s="178">
        <v>42507</v>
      </c>
      <c r="J50" s="178">
        <v>42720</v>
      </c>
      <c r="K50" s="178">
        <v>42618</v>
      </c>
      <c r="L50" s="179" t="s">
        <v>2426</v>
      </c>
      <c r="M50" s="180">
        <v>5337</v>
      </c>
      <c r="N50" s="6">
        <v>111118</v>
      </c>
      <c r="O50" s="6">
        <v>0</v>
      </c>
      <c r="P50" s="6">
        <f t="shared" si="4"/>
        <v>22223.600000000002</v>
      </c>
      <c r="Q50" s="6">
        <v>111118</v>
      </c>
      <c r="R50" s="6">
        <v>0</v>
      </c>
      <c r="S50" s="5"/>
      <c r="T50" s="4" t="s">
        <v>2480</v>
      </c>
      <c r="U50" s="4" t="s">
        <v>2428</v>
      </c>
      <c r="W50" s="178">
        <v>42956</v>
      </c>
    </row>
    <row r="51" spans="1:23" hidden="1" x14ac:dyDescent="0.25">
      <c r="A51" s="7" t="s">
        <v>2317</v>
      </c>
      <c r="B51" t="s">
        <v>2288</v>
      </c>
      <c r="C51">
        <v>1182</v>
      </c>
      <c r="D51">
        <v>16</v>
      </c>
      <c r="E51" s="176" t="s">
        <v>2319</v>
      </c>
      <c r="F51" s="176" t="s">
        <v>2483</v>
      </c>
      <c r="G51" s="176" t="s">
        <v>2484</v>
      </c>
      <c r="I51" s="178">
        <v>42507</v>
      </c>
      <c r="J51" s="178">
        <v>42720</v>
      </c>
      <c r="K51" s="178">
        <v>42618</v>
      </c>
      <c r="L51" s="179" t="s">
        <v>2426</v>
      </c>
      <c r="M51" s="180">
        <v>5337</v>
      </c>
      <c r="N51" s="6">
        <v>95669189</v>
      </c>
      <c r="O51" s="6">
        <v>0</v>
      </c>
      <c r="P51" s="6">
        <v>19133838</v>
      </c>
      <c r="Q51" s="6">
        <v>95669189</v>
      </c>
      <c r="R51" s="6">
        <v>85450495</v>
      </c>
      <c r="S51" s="5"/>
      <c r="T51" s="4" t="s">
        <v>2318</v>
      </c>
      <c r="U51" s="4" t="s">
        <v>2428</v>
      </c>
      <c r="W51" s="178">
        <v>42956</v>
      </c>
    </row>
    <row r="52" spans="1:23" ht="60" hidden="1" x14ac:dyDescent="0.25">
      <c r="A52" s="7" t="s">
        <v>2344</v>
      </c>
      <c r="B52" t="s">
        <v>2288</v>
      </c>
      <c r="C52">
        <v>1182</v>
      </c>
      <c r="D52">
        <v>16</v>
      </c>
      <c r="E52" s="176" t="s">
        <v>2346</v>
      </c>
      <c r="F52" s="176" t="s">
        <v>2485</v>
      </c>
      <c r="G52" s="176" t="s">
        <v>2461</v>
      </c>
      <c r="I52" s="178">
        <v>42507</v>
      </c>
      <c r="J52" s="178">
        <v>42720</v>
      </c>
      <c r="K52" s="178">
        <v>42618</v>
      </c>
      <c r="L52" s="179" t="s">
        <v>2426</v>
      </c>
      <c r="M52" s="180">
        <v>5337</v>
      </c>
      <c r="N52" s="6">
        <v>5973622</v>
      </c>
      <c r="O52" s="6">
        <v>0</v>
      </c>
      <c r="P52" s="6">
        <v>1194724</v>
      </c>
      <c r="Q52" s="6">
        <v>5973622</v>
      </c>
      <c r="R52" s="6">
        <v>171882</v>
      </c>
      <c r="S52" s="5"/>
      <c r="T52" s="4" t="s">
        <v>2486</v>
      </c>
      <c r="U52" s="4" t="s">
        <v>2428</v>
      </c>
      <c r="W52" s="178">
        <v>42956</v>
      </c>
    </row>
    <row r="53" spans="1:23" hidden="1" x14ac:dyDescent="0.25">
      <c r="A53" s="7" t="s">
        <v>2307</v>
      </c>
      <c r="B53" t="s">
        <v>2288</v>
      </c>
      <c r="C53">
        <v>1182</v>
      </c>
      <c r="D53">
        <v>16</v>
      </c>
      <c r="E53" s="176" t="s">
        <v>2309</v>
      </c>
      <c r="F53" s="176" t="s">
        <v>2485</v>
      </c>
      <c r="G53" s="176" t="s">
        <v>2438</v>
      </c>
      <c r="I53" s="178">
        <v>42507</v>
      </c>
      <c r="J53" s="178">
        <v>42720</v>
      </c>
      <c r="K53" s="178">
        <v>42618</v>
      </c>
      <c r="L53" s="179" t="s">
        <v>2426</v>
      </c>
      <c r="M53" s="180">
        <v>5337</v>
      </c>
      <c r="N53" s="6">
        <v>4882455</v>
      </c>
      <c r="O53" s="6">
        <v>0</v>
      </c>
      <c r="P53" s="6">
        <v>976491</v>
      </c>
      <c r="Q53" s="6">
        <v>4882455</v>
      </c>
      <c r="R53" s="6">
        <v>0</v>
      </c>
      <c r="S53" s="5"/>
      <c r="T53" s="4" t="s">
        <v>2308</v>
      </c>
      <c r="U53" s="4" t="s">
        <v>2428</v>
      </c>
      <c r="W53" s="178">
        <v>42956</v>
      </c>
    </row>
    <row r="54" spans="1:23" hidden="1" x14ac:dyDescent="0.25">
      <c r="A54" s="7" t="s">
        <v>2332</v>
      </c>
      <c r="B54" t="s">
        <v>2288</v>
      </c>
      <c r="C54">
        <v>1182</v>
      </c>
      <c r="D54">
        <v>16</v>
      </c>
      <c r="E54" s="176" t="s">
        <v>2334</v>
      </c>
      <c r="F54" s="176" t="s">
        <v>2487</v>
      </c>
      <c r="G54" s="176" t="s">
        <v>2488</v>
      </c>
      <c r="I54" s="178">
        <v>42507</v>
      </c>
      <c r="J54" s="178">
        <v>42720</v>
      </c>
      <c r="K54" s="178">
        <v>42618</v>
      </c>
      <c r="L54" s="179" t="s">
        <v>2426</v>
      </c>
      <c r="M54" s="180">
        <v>5337</v>
      </c>
      <c r="N54" s="6">
        <v>12507249</v>
      </c>
      <c r="O54" s="6">
        <v>0</v>
      </c>
      <c r="P54" s="6">
        <v>2501450</v>
      </c>
      <c r="Q54" s="6">
        <v>12507249</v>
      </c>
      <c r="R54" s="6">
        <v>0</v>
      </c>
      <c r="S54" s="5"/>
      <c r="T54" s="4" t="s">
        <v>2333</v>
      </c>
      <c r="U54" s="4" t="s">
        <v>2489</v>
      </c>
      <c r="W54" s="178">
        <v>42956</v>
      </c>
    </row>
    <row r="55" spans="1:23" ht="60" hidden="1" x14ac:dyDescent="0.25">
      <c r="A55" s="7" t="s">
        <v>2332</v>
      </c>
      <c r="B55" t="s">
        <v>2288</v>
      </c>
      <c r="C55">
        <v>1182</v>
      </c>
      <c r="D55">
        <v>16</v>
      </c>
      <c r="E55" s="176" t="s">
        <v>2334</v>
      </c>
      <c r="F55" s="176" t="s">
        <v>2485</v>
      </c>
      <c r="G55" s="176" t="s">
        <v>2461</v>
      </c>
      <c r="I55" s="178">
        <v>42507</v>
      </c>
      <c r="J55" s="178">
        <v>42720</v>
      </c>
      <c r="K55" s="178">
        <v>42618</v>
      </c>
      <c r="L55" s="179" t="s">
        <v>2426</v>
      </c>
      <c r="M55" s="180">
        <v>5337</v>
      </c>
      <c r="N55" s="6">
        <v>119681</v>
      </c>
      <c r="O55" s="6">
        <v>0</v>
      </c>
      <c r="P55" s="6">
        <v>23936</v>
      </c>
      <c r="Q55" s="6">
        <v>119681</v>
      </c>
      <c r="R55" s="6">
        <v>0</v>
      </c>
      <c r="S55" s="5"/>
      <c r="T55" s="4" t="s">
        <v>2490</v>
      </c>
      <c r="U55" s="4" t="s">
        <v>2491</v>
      </c>
      <c r="W55" s="178">
        <v>42956</v>
      </c>
    </row>
    <row r="56" spans="1:23" ht="60" hidden="1" x14ac:dyDescent="0.25">
      <c r="A56" s="7" t="s">
        <v>2326</v>
      </c>
      <c r="B56" t="s">
        <v>2288</v>
      </c>
      <c r="C56">
        <v>1182</v>
      </c>
      <c r="D56">
        <v>16</v>
      </c>
      <c r="E56" s="176" t="s">
        <v>2328</v>
      </c>
      <c r="F56" s="176" t="s">
        <v>2485</v>
      </c>
      <c r="G56" s="176" t="s">
        <v>2492</v>
      </c>
      <c r="I56" s="178">
        <v>42507</v>
      </c>
      <c r="J56" s="178">
        <v>42576</v>
      </c>
      <c r="K56" s="178">
        <v>42618</v>
      </c>
      <c r="L56" s="179" t="s">
        <v>2426</v>
      </c>
      <c r="M56" s="180">
        <v>5337</v>
      </c>
      <c r="N56" s="6">
        <v>645287</v>
      </c>
      <c r="O56" s="6">
        <v>0</v>
      </c>
      <c r="P56" s="6">
        <v>129057</v>
      </c>
      <c r="Q56" s="6">
        <v>645287</v>
      </c>
      <c r="R56" s="6">
        <v>0</v>
      </c>
      <c r="S56" s="5"/>
      <c r="T56" s="4" t="s">
        <v>2327</v>
      </c>
      <c r="U56" s="4" t="s">
        <v>2491</v>
      </c>
      <c r="W56" s="178">
        <v>42956</v>
      </c>
    </row>
    <row r="57" spans="1:23" hidden="1" x14ac:dyDescent="0.25">
      <c r="A57" s="7" t="s">
        <v>2330</v>
      </c>
      <c r="B57" t="s">
        <v>2288</v>
      </c>
      <c r="C57">
        <v>1182</v>
      </c>
      <c r="D57">
        <v>16</v>
      </c>
      <c r="E57" s="176" t="s">
        <v>2331</v>
      </c>
      <c r="F57" s="176" t="s">
        <v>2444</v>
      </c>
      <c r="G57" s="176" t="s">
        <v>2445</v>
      </c>
      <c r="H57" s="176" t="s">
        <v>2302</v>
      </c>
      <c r="I57" s="178">
        <v>42551</v>
      </c>
      <c r="J57" s="178">
        <v>42557</v>
      </c>
      <c r="K57" s="178">
        <v>42618</v>
      </c>
      <c r="L57" s="179" t="s">
        <v>2426</v>
      </c>
      <c r="M57" s="180">
        <v>5337</v>
      </c>
      <c r="N57" s="6">
        <v>5160935</v>
      </c>
      <c r="O57" s="6">
        <v>0</v>
      </c>
      <c r="P57" s="6">
        <v>1848943</v>
      </c>
      <c r="Q57" s="6">
        <v>5160935</v>
      </c>
      <c r="R57" s="6">
        <v>0</v>
      </c>
      <c r="T57" s="4" t="s">
        <v>2493</v>
      </c>
      <c r="U57" s="4" t="s">
        <v>2494</v>
      </c>
      <c r="W57" s="178">
        <v>42956</v>
      </c>
    </row>
    <row r="58" spans="1:23" ht="45" hidden="1" x14ac:dyDescent="0.25">
      <c r="A58" s="7" t="s">
        <v>2330</v>
      </c>
      <c r="B58" t="s">
        <v>2288</v>
      </c>
      <c r="C58">
        <v>1182</v>
      </c>
      <c r="D58">
        <v>16</v>
      </c>
      <c r="E58" s="176" t="s">
        <v>2331</v>
      </c>
      <c r="F58" s="176" t="s">
        <v>2429</v>
      </c>
      <c r="G58" s="171" t="s">
        <v>2495</v>
      </c>
      <c r="H58" s="176" t="s">
        <v>2302</v>
      </c>
      <c r="I58" s="178">
        <v>42551</v>
      </c>
      <c r="J58" s="178">
        <v>42557</v>
      </c>
      <c r="K58" s="178">
        <v>42618</v>
      </c>
      <c r="L58" s="179" t="s">
        <v>2426</v>
      </c>
      <c r="M58" s="180">
        <v>5337</v>
      </c>
      <c r="N58" s="6">
        <v>5839065</v>
      </c>
      <c r="O58" s="6">
        <v>0</v>
      </c>
      <c r="P58" s="6">
        <v>1848943</v>
      </c>
      <c r="Q58" s="6">
        <v>5160935</v>
      </c>
      <c r="R58" s="6">
        <v>144336</v>
      </c>
      <c r="T58" s="4" t="s">
        <v>2496</v>
      </c>
      <c r="U58" s="4" t="s">
        <v>2428</v>
      </c>
      <c r="W58" s="178">
        <v>42961</v>
      </c>
    </row>
    <row r="59" spans="1:23" ht="30" hidden="1" x14ac:dyDescent="0.25">
      <c r="A59" s="7" t="s">
        <v>2297</v>
      </c>
      <c r="B59" t="s">
        <v>2288</v>
      </c>
      <c r="C59">
        <v>1182</v>
      </c>
      <c r="D59">
        <v>16</v>
      </c>
      <c r="E59" s="176" t="s">
        <v>2298</v>
      </c>
      <c r="F59" s="171" t="s">
        <v>2429</v>
      </c>
      <c r="G59" s="171" t="s">
        <v>2497</v>
      </c>
      <c r="H59" s="176" t="s">
        <v>2302</v>
      </c>
      <c r="I59" s="178">
        <v>42551</v>
      </c>
      <c r="J59" s="178">
        <v>42576</v>
      </c>
      <c r="K59" s="178">
        <v>42618</v>
      </c>
      <c r="L59" s="179" t="s">
        <v>2426</v>
      </c>
      <c r="M59" s="180">
        <v>5337</v>
      </c>
      <c r="N59" s="6">
        <v>6195561</v>
      </c>
      <c r="O59" s="6">
        <v>0</v>
      </c>
      <c r="P59" s="6">
        <f>Q59*0.2</f>
        <v>1239112.2</v>
      </c>
      <c r="Q59" s="6">
        <v>6195561</v>
      </c>
      <c r="R59" s="6">
        <v>122637</v>
      </c>
      <c r="T59" s="4" t="s">
        <v>2498</v>
      </c>
      <c r="U59" s="4" t="s">
        <v>2428</v>
      </c>
      <c r="W59" s="178">
        <v>42961</v>
      </c>
    </row>
    <row r="60" spans="1:23" hidden="1" x14ac:dyDescent="0.25">
      <c r="A60" s="7" t="s">
        <v>2297</v>
      </c>
      <c r="B60" t="s">
        <v>2288</v>
      </c>
      <c r="C60">
        <v>1182</v>
      </c>
      <c r="D60">
        <v>16</v>
      </c>
      <c r="E60" s="176" t="s">
        <v>2298</v>
      </c>
      <c r="F60" s="176" t="s">
        <v>2487</v>
      </c>
      <c r="G60" s="176" t="s">
        <v>2499</v>
      </c>
      <c r="H60" s="176" t="s">
        <v>2302</v>
      </c>
      <c r="I60" s="178">
        <v>42551</v>
      </c>
      <c r="J60" s="178">
        <v>42576</v>
      </c>
      <c r="K60" s="178">
        <v>42618</v>
      </c>
      <c r="L60" s="179" t="s">
        <v>2426</v>
      </c>
      <c r="M60" s="180">
        <v>5337</v>
      </c>
      <c r="N60" s="6">
        <v>3357958</v>
      </c>
      <c r="O60" s="6">
        <v>0</v>
      </c>
      <c r="P60" s="6">
        <f>Q60*0.2</f>
        <v>671591.60000000009</v>
      </c>
      <c r="Q60" s="6">
        <v>3357958</v>
      </c>
      <c r="R60" s="6">
        <v>2013158</v>
      </c>
      <c r="T60" s="4" t="s">
        <v>2498</v>
      </c>
      <c r="U60" s="4" t="s">
        <v>2428</v>
      </c>
      <c r="W60" s="178">
        <v>42961</v>
      </c>
    </row>
    <row r="61" spans="1:23" ht="30" hidden="1" x14ac:dyDescent="0.25">
      <c r="A61" s="7" t="s">
        <v>2287</v>
      </c>
      <c r="B61" t="s">
        <v>2288</v>
      </c>
      <c r="C61">
        <v>1182</v>
      </c>
      <c r="D61">
        <v>16</v>
      </c>
      <c r="E61" s="176" t="s">
        <v>2290</v>
      </c>
      <c r="F61" s="171" t="s">
        <v>2500</v>
      </c>
      <c r="G61" s="171" t="s">
        <v>2501</v>
      </c>
      <c r="I61" s="178">
        <v>42523</v>
      </c>
      <c r="J61" s="178">
        <v>42564</v>
      </c>
      <c r="K61" s="178">
        <v>42612</v>
      </c>
      <c r="L61" s="179" t="s">
        <v>2426</v>
      </c>
      <c r="M61" s="180">
        <v>5307</v>
      </c>
      <c r="N61" s="6">
        <v>1033985</v>
      </c>
      <c r="O61" s="6">
        <v>0</v>
      </c>
      <c r="P61" s="6">
        <f t="shared" ref="P61:P72" si="5">N61*0.2</f>
        <v>206797</v>
      </c>
      <c r="Q61" s="6">
        <f t="shared" ref="Q61:Q72" si="6">N61</f>
        <v>1033985</v>
      </c>
      <c r="R61" s="6">
        <v>0</v>
      </c>
      <c r="S61" s="5"/>
      <c r="T61" s="4" t="s">
        <v>2502</v>
      </c>
      <c r="U61" s="4" t="s">
        <v>2428</v>
      </c>
      <c r="W61" s="178">
        <v>42961</v>
      </c>
    </row>
    <row r="62" spans="1:23" ht="30" hidden="1" x14ac:dyDescent="0.25">
      <c r="A62" s="7" t="s">
        <v>2297</v>
      </c>
      <c r="B62" t="s">
        <v>2288</v>
      </c>
      <c r="C62">
        <v>1182</v>
      </c>
      <c r="D62">
        <v>16</v>
      </c>
      <c r="E62" s="176" t="s">
        <v>2299</v>
      </c>
      <c r="F62" s="171" t="s">
        <v>2487</v>
      </c>
      <c r="G62" s="171" t="s">
        <v>2499</v>
      </c>
      <c r="I62" s="178">
        <v>42523</v>
      </c>
      <c r="J62" s="178">
        <v>42523</v>
      </c>
      <c r="K62" s="178">
        <v>42612</v>
      </c>
      <c r="L62" s="179" t="s">
        <v>2426</v>
      </c>
      <c r="M62" s="180">
        <v>5307</v>
      </c>
      <c r="N62" s="6">
        <v>7705462</v>
      </c>
      <c r="O62" s="6">
        <v>0</v>
      </c>
      <c r="P62" s="6">
        <f t="shared" si="5"/>
        <v>1541092.4000000001</v>
      </c>
      <c r="Q62" s="6">
        <f t="shared" si="6"/>
        <v>7705462</v>
      </c>
      <c r="R62" s="6">
        <v>7705462</v>
      </c>
      <c r="T62" s="4" t="s">
        <v>2503</v>
      </c>
      <c r="U62" s="4" t="s">
        <v>2428</v>
      </c>
      <c r="W62" s="178">
        <v>42961</v>
      </c>
    </row>
    <row r="63" spans="1:23" ht="30" hidden="1" x14ac:dyDescent="0.25">
      <c r="A63" s="7" t="s">
        <v>2297</v>
      </c>
      <c r="B63" t="s">
        <v>2288</v>
      </c>
      <c r="C63">
        <v>1182</v>
      </c>
      <c r="D63">
        <v>16</v>
      </c>
      <c r="E63" s="176" t="s">
        <v>2299</v>
      </c>
      <c r="F63" s="171" t="s">
        <v>2429</v>
      </c>
      <c r="G63" s="171" t="s">
        <v>2497</v>
      </c>
      <c r="I63" s="178">
        <v>42523</v>
      </c>
      <c r="J63" s="178">
        <v>42523</v>
      </c>
      <c r="K63" s="178">
        <v>42612</v>
      </c>
      <c r="L63" s="179" t="s">
        <v>2426</v>
      </c>
      <c r="M63" s="180">
        <v>5307</v>
      </c>
      <c r="N63" s="6">
        <f>11460097-4000000</f>
        <v>7460097</v>
      </c>
      <c r="O63" s="6">
        <v>0</v>
      </c>
      <c r="P63" s="6">
        <f t="shared" si="5"/>
        <v>1492019.4000000001</v>
      </c>
      <c r="Q63" s="6">
        <f t="shared" si="6"/>
        <v>7460097</v>
      </c>
      <c r="R63" s="6">
        <v>16340</v>
      </c>
      <c r="T63" s="4" t="s">
        <v>2503</v>
      </c>
      <c r="U63" s="4" t="s">
        <v>2428</v>
      </c>
      <c r="W63" s="178">
        <v>42961</v>
      </c>
    </row>
    <row r="64" spans="1:23" hidden="1" x14ac:dyDescent="0.25">
      <c r="A64" s="7" t="s">
        <v>2317</v>
      </c>
      <c r="B64" t="s">
        <v>2288</v>
      </c>
      <c r="C64">
        <v>1182</v>
      </c>
      <c r="D64">
        <v>16</v>
      </c>
      <c r="E64" s="176" t="s">
        <v>2320</v>
      </c>
      <c r="F64" s="176" t="s">
        <v>2429</v>
      </c>
      <c r="G64" s="171" t="s">
        <v>2484</v>
      </c>
      <c r="I64" s="178">
        <v>42524</v>
      </c>
      <c r="J64" s="178">
        <v>42607</v>
      </c>
      <c r="K64" s="178">
        <v>42612</v>
      </c>
      <c r="L64" s="179" t="s">
        <v>2426</v>
      </c>
      <c r="M64" s="180">
        <v>5307</v>
      </c>
      <c r="N64" s="6">
        <v>43847775</v>
      </c>
      <c r="O64" s="6">
        <v>0</v>
      </c>
      <c r="P64" s="6">
        <f t="shared" si="5"/>
        <v>8769555</v>
      </c>
      <c r="Q64" s="6">
        <f t="shared" si="6"/>
        <v>43847775</v>
      </c>
      <c r="R64" s="6">
        <v>43847775</v>
      </c>
      <c r="T64" s="4" t="s">
        <v>2318</v>
      </c>
      <c r="U64" s="4" t="s">
        <v>2428</v>
      </c>
      <c r="W64" s="178">
        <v>42961</v>
      </c>
    </row>
    <row r="65" spans="1:23" ht="30" hidden="1" x14ac:dyDescent="0.25">
      <c r="A65" s="7" t="s">
        <v>2337</v>
      </c>
      <c r="B65" t="s">
        <v>2288</v>
      </c>
      <c r="C65">
        <v>1182</v>
      </c>
      <c r="D65">
        <v>16</v>
      </c>
      <c r="E65" s="176" t="s">
        <v>2338</v>
      </c>
      <c r="F65" s="171" t="s">
        <v>2504</v>
      </c>
      <c r="G65" s="171" t="s">
        <v>2505</v>
      </c>
      <c r="I65" s="178">
        <v>42524</v>
      </c>
      <c r="J65" s="178">
        <v>42607</v>
      </c>
      <c r="K65" s="178">
        <v>42612</v>
      </c>
      <c r="L65" s="179" t="s">
        <v>2426</v>
      </c>
      <c r="M65" s="180">
        <v>5307</v>
      </c>
      <c r="N65" s="6">
        <v>3615480</v>
      </c>
      <c r="O65" s="6">
        <v>0</v>
      </c>
      <c r="P65" s="6">
        <f t="shared" si="5"/>
        <v>723096</v>
      </c>
      <c r="Q65" s="6">
        <f t="shared" si="6"/>
        <v>3615480</v>
      </c>
      <c r="R65" s="6">
        <v>0</v>
      </c>
      <c r="T65" s="4" t="s">
        <v>2475</v>
      </c>
      <c r="U65" s="4" t="s">
        <v>2428</v>
      </c>
      <c r="W65" s="178">
        <v>42961</v>
      </c>
    </row>
    <row r="66" spans="1:23" ht="45" hidden="1" x14ac:dyDescent="0.25">
      <c r="A66" s="7" t="s">
        <v>2335</v>
      </c>
      <c r="B66" t="s">
        <v>2288</v>
      </c>
      <c r="C66">
        <v>1182</v>
      </c>
      <c r="D66">
        <v>16</v>
      </c>
      <c r="E66" s="176" t="s">
        <v>2336</v>
      </c>
      <c r="F66" s="171" t="s">
        <v>2500</v>
      </c>
      <c r="G66" s="171" t="s">
        <v>2506</v>
      </c>
      <c r="I66" s="178">
        <v>42527</v>
      </c>
      <c r="J66" s="178">
        <v>42607</v>
      </c>
      <c r="K66" s="178">
        <v>42612</v>
      </c>
      <c r="L66" s="179" t="s">
        <v>2426</v>
      </c>
      <c r="M66" s="180">
        <v>5307</v>
      </c>
      <c r="N66" s="6">
        <v>38439682</v>
      </c>
      <c r="O66" s="6">
        <v>0</v>
      </c>
      <c r="P66" s="6">
        <f t="shared" si="5"/>
        <v>7687936.4000000004</v>
      </c>
      <c r="Q66" s="6">
        <f t="shared" si="6"/>
        <v>38439682</v>
      </c>
      <c r="R66" s="6">
        <v>29974133</v>
      </c>
      <c r="T66" s="4" t="s">
        <v>2507</v>
      </c>
      <c r="U66" s="4" t="s">
        <v>2428</v>
      </c>
      <c r="W66" s="178">
        <v>42961</v>
      </c>
    </row>
    <row r="67" spans="1:23" ht="60" hidden="1" x14ac:dyDescent="0.25">
      <c r="A67" s="7" t="s">
        <v>2344</v>
      </c>
      <c r="B67" t="s">
        <v>2288</v>
      </c>
      <c r="C67">
        <v>1182</v>
      </c>
      <c r="D67">
        <v>16</v>
      </c>
      <c r="E67" s="176" t="s">
        <v>2347</v>
      </c>
      <c r="F67" s="171" t="s">
        <v>2504</v>
      </c>
      <c r="G67" s="171" t="s">
        <v>2508</v>
      </c>
      <c r="I67" s="178">
        <v>42529</v>
      </c>
      <c r="J67" s="178">
        <v>42607</v>
      </c>
      <c r="K67" s="178">
        <v>42612</v>
      </c>
      <c r="L67" s="179" t="s">
        <v>2426</v>
      </c>
      <c r="M67" s="180">
        <v>5307</v>
      </c>
      <c r="N67" s="6">
        <v>14473479</v>
      </c>
      <c r="O67" s="6">
        <v>0</v>
      </c>
      <c r="P67" s="6">
        <f t="shared" si="5"/>
        <v>2894695.8000000003</v>
      </c>
      <c r="Q67" s="6">
        <f t="shared" si="6"/>
        <v>14473479</v>
      </c>
      <c r="R67" s="6">
        <v>5771955</v>
      </c>
      <c r="T67" s="4" t="s">
        <v>2509</v>
      </c>
      <c r="U67" s="4" t="s">
        <v>2428</v>
      </c>
      <c r="W67" s="178">
        <v>42961</v>
      </c>
    </row>
    <row r="68" spans="1:23" ht="30" hidden="1" x14ac:dyDescent="0.25">
      <c r="A68" s="7" t="s">
        <v>2303</v>
      </c>
      <c r="B68" t="s">
        <v>2288</v>
      </c>
      <c r="C68">
        <v>1182</v>
      </c>
      <c r="D68">
        <v>16</v>
      </c>
      <c r="E68" s="176" t="s">
        <v>2305</v>
      </c>
      <c r="F68" s="171" t="s">
        <v>2510</v>
      </c>
      <c r="G68" s="171" t="s">
        <v>2511</v>
      </c>
      <c r="I68" s="178">
        <v>42529</v>
      </c>
      <c r="J68" s="178">
        <v>42607</v>
      </c>
      <c r="K68" s="178">
        <v>42612</v>
      </c>
      <c r="L68" s="179" t="s">
        <v>2426</v>
      </c>
      <c r="M68" s="180">
        <v>5307</v>
      </c>
      <c r="N68" s="6">
        <v>1397155</v>
      </c>
      <c r="O68" s="6">
        <v>0</v>
      </c>
      <c r="P68" s="6">
        <f t="shared" si="5"/>
        <v>279431</v>
      </c>
      <c r="Q68" s="6">
        <f t="shared" si="6"/>
        <v>1397155</v>
      </c>
      <c r="R68" s="6">
        <v>1308008</v>
      </c>
      <c r="T68" s="4" t="s">
        <v>2512</v>
      </c>
      <c r="U68" s="4" t="s">
        <v>2428</v>
      </c>
      <c r="W68" s="178">
        <v>42961</v>
      </c>
    </row>
    <row r="69" spans="1:23" ht="30" hidden="1" x14ac:dyDescent="0.25">
      <c r="A69" s="7" t="s">
        <v>2341</v>
      </c>
      <c r="B69" t="s">
        <v>2288</v>
      </c>
      <c r="C69">
        <v>1182</v>
      </c>
      <c r="D69">
        <v>16</v>
      </c>
      <c r="E69" s="176" t="s">
        <v>2342</v>
      </c>
      <c r="F69" s="171" t="s">
        <v>2513</v>
      </c>
      <c r="G69" s="171" t="s">
        <v>2514</v>
      </c>
      <c r="I69" s="178">
        <v>42529</v>
      </c>
      <c r="J69" s="178">
        <v>42607</v>
      </c>
      <c r="K69" s="178">
        <v>42612</v>
      </c>
      <c r="L69" s="179" t="s">
        <v>2426</v>
      </c>
      <c r="M69" s="180">
        <v>5307</v>
      </c>
      <c r="N69" s="6">
        <v>3563380</v>
      </c>
      <c r="O69" s="6">
        <v>0</v>
      </c>
      <c r="P69" s="6">
        <f t="shared" si="5"/>
        <v>712676</v>
      </c>
      <c r="Q69" s="6">
        <f t="shared" si="6"/>
        <v>3563380</v>
      </c>
      <c r="R69" s="6">
        <v>0</v>
      </c>
      <c r="T69" s="4" t="s">
        <v>2515</v>
      </c>
      <c r="U69" s="4" t="s">
        <v>2428</v>
      </c>
      <c r="W69" s="178">
        <v>42961</v>
      </c>
    </row>
    <row r="70" spans="1:23" hidden="1" x14ac:dyDescent="0.25">
      <c r="A70" s="7" t="s">
        <v>2307</v>
      </c>
      <c r="B70" t="s">
        <v>2288</v>
      </c>
      <c r="C70">
        <v>1182</v>
      </c>
      <c r="D70">
        <v>16</v>
      </c>
      <c r="E70" s="176" t="s">
        <v>2311</v>
      </c>
      <c r="F70" s="176" t="s">
        <v>2429</v>
      </c>
      <c r="G70" s="171" t="s">
        <v>2516</v>
      </c>
      <c r="I70" s="178">
        <v>42529</v>
      </c>
      <c r="J70" s="178">
        <v>42606</v>
      </c>
      <c r="K70" s="178">
        <v>42612</v>
      </c>
      <c r="L70" s="179" t="s">
        <v>2426</v>
      </c>
      <c r="M70" s="180">
        <v>5307</v>
      </c>
      <c r="N70" s="6">
        <v>1807545</v>
      </c>
      <c r="O70" s="6">
        <v>0</v>
      </c>
      <c r="P70" s="6">
        <f t="shared" si="5"/>
        <v>361509</v>
      </c>
      <c r="Q70" s="6">
        <f t="shared" si="6"/>
        <v>1807545</v>
      </c>
      <c r="R70" s="6">
        <v>0</v>
      </c>
      <c r="T70" s="4" t="s">
        <v>2310</v>
      </c>
      <c r="U70" s="4" t="s">
        <v>2428</v>
      </c>
      <c r="W70" s="178">
        <v>42961</v>
      </c>
    </row>
    <row r="71" spans="1:23" hidden="1" x14ac:dyDescent="0.25">
      <c r="A71" s="7" t="s">
        <v>2314</v>
      </c>
      <c r="B71" t="s">
        <v>2288</v>
      </c>
      <c r="C71">
        <v>1182</v>
      </c>
      <c r="D71">
        <v>16</v>
      </c>
      <c r="E71" s="176" t="s">
        <v>2316</v>
      </c>
      <c r="F71" s="176" t="s">
        <v>2517</v>
      </c>
      <c r="G71" s="176" t="s">
        <v>2518</v>
      </c>
      <c r="I71" s="178">
        <v>42531</v>
      </c>
      <c r="J71" s="178">
        <v>42584</v>
      </c>
      <c r="K71" s="178">
        <v>42612</v>
      </c>
      <c r="L71" s="179" t="s">
        <v>2426</v>
      </c>
      <c r="M71" s="180">
        <v>5307</v>
      </c>
      <c r="N71" s="6">
        <f>407381+203690+101845+239562+15051+50923</f>
        <v>1018452</v>
      </c>
      <c r="O71" s="6">
        <v>0</v>
      </c>
      <c r="P71" s="6">
        <f t="shared" si="5"/>
        <v>203690.40000000002</v>
      </c>
      <c r="Q71" s="6">
        <f t="shared" si="6"/>
        <v>1018452</v>
      </c>
      <c r="R71" s="6">
        <v>0</v>
      </c>
      <c r="T71" s="4" t="s">
        <v>2519</v>
      </c>
      <c r="U71" s="4" t="s">
        <v>2428</v>
      </c>
      <c r="W71" s="178">
        <v>42961</v>
      </c>
    </row>
    <row r="72" spans="1:23" hidden="1" x14ac:dyDescent="0.25">
      <c r="A72" s="7" t="s">
        <v>2326</v>
      </c>
      <c r="B72" t="s">
        <v>2288</v>
      </c>
      <c r="C72">
        <v>1182</v>
      </c>
      <c r="D72">
        <v>16</v>
      </c>
      <c r="E72" s="176" t="s">
        <v>2316</v>
      </c>
      <c r="F72" s="176" t="s">
        <v>2517</v>
      </c>
      <c r="G72" s="176" t="s">
        <v>2459</v>
      </c>
      <c r="I72" s="178">
        <v>42531</v>
      </c>
      <c r="J72" s="178">
        <v>42584</v>
      </c>
      <c r="K72" s="178">
        <v>42612</v>
      </c>
      <c r="L72" s="179" t="s">
        <v>2426</v>
      </c>
      <c r="M72" s="180">
        <v>5307</v>
      </c>
      <c r="N72" s="6">
        <f>1014528+320165+20020</f>
        <v>1354713</v>
      </c>
      <c r="O72" s="6">
        <v>0</v>
      </c>
      <c r="P72" s="6">
        <f t="shared" si="5"/>
        <v>270942.60000000003</v>
      </c>
      <c r="Q72" s="6">
        <f t="shared" si="6"/>
        <v>1354713</v>
      </c>
      <c r="T72" s="4" t="s">
        <v>2520</v>
      </c>
      <c r="U72" s="4" t="s">
        <v>2428</v>
      </c>
      <c r="W72" s="178">
        <v>42961</v>
      </c>
    </row>
    <row r="73" spans="1:23" ht="47.25" hidden="1" customHeight="1" x14ac:dyDescent="0.25">
      <c r="A73" s="7" t="s">
        <v>2329</v>
      </c>
      <c r="B73" t="s">
        <v>2288</v>
      </c>
      <c r="C73">
        <v>1182</v>
      </c>
      <c r="D73">
        <v>16</v>
      </c>
      <c r="E73" s="176" t="s">
        <v>2521</v>
      </c>
      <c r="F73" s="171" t="s">
        <v>2522</v>
      </c>
      <c r="G73" s="176" t="s">
        <v>2523</v>
      </c>
      <c r="H73" s="182">
        <v>42621</v>
      </c>
      <c r="I73" s="178">
        <v>42571</v>
      </c>
      <c r="J73" s="178">
        <v>42608</v>
      </c>
      <c r="K73" s="178">
        <v>42635</v>
      </c>
      <c r="L73" s="179" t="s">
        <v>2426</v>
      </c>
      <c r="M73" s="180" t="s">
        <v>2284</v>
      </c>
      <c r="N73" s="6">
        <v>3981059</v>
      </c>
      <c r="O73" s="6">
        <v>0</v>
      </c>
      <c r="P73" s="6">
        <f>Q73*0.2</f>
        <v>796211.8</v>
      </c>
      <c r="Q73" s="6">
        <v>3981059</v>
      </c>
      <c r="R73" s="6">
        <v>0</v>
      </c>
      <c r="T73" s="4" t="s">
        <v>2524</v>
      </c>
      <c r="U73" s="4" t="s">
        <v>2525</v>
      </c>
      <c r="W73" s="178">
        <v>42957</v>
      </c>
    </row>
    <row r="74" spans="1:23" ht="47.25" hidden="1" customHeight="1" x14ac:dyDescent="0.25">
      <c r="A74" s="7" t="s">
        <v>2329</v>
      </c>
      <c r="B74" t="s">
        <v>2288</v>
      </c>
      <c r="C74">
        <v>1182</v>
      </c>
      <c r="D74">
        <v>16</v>
      </c>
      <c r="E74" s="176" t="s">
        <v>2521</v>
      </c>
      <c r="F74" s="171" t="s">
        <v>2526</v>
      </c>
      <c r="G74" s="171" t="s">
        <v>2527</v>
      </c>
      <c r="H74" s="182">
        <v>42621</v>
      </c>
      <c r="I74" s="178">
        <v>42571</v>
      </c>
      <c r="J74" s="178">
        <v>42608</v>
      </c>
      <c r="K74" s="178">
        <v>42635</v>
      </c>
      <c r="L74" s="179" t="s">
        <v>2426</v>
      </c>
      <c r="M74" s="180" t="s">
        <v>2284</v>
      </c>
      <c r="N74" s="6">
        <v>74941</v>
      </c>
      <c r="O74" s="6">
        <v>0</v>
      </c>
      <c r="P74" s="6">
        <f>Q74*0.2</f>
        <v>14988.2</v>
      </c>
      <c r="Q74" s="6">
        <v>74941</v>
      </c>
      <c r="R74" s="6">
        <v>0</v>
      </c>
      <c r="T74" s="4" t="s">
        <v>2524</v>
      </c>
      <c r="U74" s="4" t="s">
        <v>2525</v>
      </c>
      <c r="W74" s="178">
        <v>42957</v>
      </c>
    </row>
    <row r="75" spans="1:23" ht="30" hidden="1" x14ac:dyDescent="0.25">
      <c r="A75" s="7" t="s">
        <v>2321</v>
      </c>
      <c r="B75" t="s">
        <v>2288</v>
      </c>
      <c r="C75">
        <v>1182</v>
      </c>
      <c r="D75">
        <v>16</v>
      </c>
      <c r="E75" s="176" t="s">
        <v>2322</v>
      </c>
      <c r="F75" s="176" t="s">
        <v>2526</v>
      </c>
      <c r="G75" s="176" t="s">
        <v>2528</v>
      </c>
      <c r="I75" s="178">
        <v>42613</v>
      </c>
      <c r="J75" s="178">
        <v>42613</v>
      </c>
      <c r="K75" s="178">
        <v>42634</v>
      </c>
      <c r="L75" s="179" t="s">
        <v>2426</v>
      </c>
      <c r="M75" s="180">
        <v>5337</v>
      </c>
      <c r="N75" s="6">
        <v>160823</v>
      </c>
      <c r="O75" s="6">
        <v>0</v>
      </c>
      <c r="P75" s="6">
        <v>32164</v>
      </c>
      <c r="Q75" s="6">
        <v>160823</v>
      </c>
      <c r="R75" s="6">
        <v>0</v>
      </c>
      <c r="T75" s="4" t="s">
        <v>2529</v>
      </c>
      <c r="U75" s="4" t="s">
        <v>2530</v>
      </c>
      <c r="W75" s="178">
        <v>42961</v>
      </c>
    </row>
    <row r="76" spans="1:23" ht="30" hidden="1" x14ac:dyDescent="0.25">
      <c r="A76" s="7" t="s">
        <v>2321</v>
      </c>
      <c r="B76" t="s">
        <v>2288</v>
      </c>
      <c r="C76">
        <v>1182</v>
      </c>
      <c r="D76">
        <v>16</v>
      </c>
      <c r="E76" s="176" t="s">
        <v>2292</v>
      </c>
      <c r="F76" s="176" t="s">
        <v>2526</v>
      </c>
      <c r="G76" s="171" t="s">
        <v>2531</v>
      </c>
      <c r="I76" s="178">
        <v>42613</v>
      </c>
      <c r="J76" s="178">
        <v>42613</v>
      </c>
      <c r="K76" s="178">
        <v>42634</v>
      </c>
      <c r="L76" s="179" t="s">
        <v>2426</v>
      </c>
      <c r="M76" s="180">
        <v>5339</v>
      </c>
      <c r="N76" s="6">
        <f>100000+2039351+34503</f>
        <v>2173854</v>
      </c>
      <c r="O76" s="6">
        <v>0</v>
      </c>
      <c r="P76" s="6">
        <f t="shared" ref="P76:P83" si="7">N76*0.2</f>
        <v>434770.80000000005</v>
      </c>
      <c r="Q76" s="6">
        <f t="shared" ref="Q76:Q83" si="8">N76</f>
        <v>2173854</v>
      </c>
      <c r="R76" s="6">
        <v>0</v>
      </c>
      <c r="T76" s="4" t="s">
        <v>2323</v>
      </c>
      <c r="U76" s="4" t="s">
        <v>2530</v>
      </c>
      <c r="W76" s="178">
        <v>42961</v>
      </c>
    </row>
    <row r="77" spans="1:23" ht="30" hidden="1" x14ac:dyDescent="0.25">
      <c r="A77" s="7" t="s">
        <v>2287</v>
      </c>
      <c r="B77" t="s">
        <v>2288</v>
      </c>
      <c r="C77">
        <v>1182</v>
      </c>
      <c r="D77">
        <v>15</v>
      </c>
      <c r="E77" s="176" t="s">
        <v>2292</v>
      </c>
      <c r="F77" s="176" t="s">
        <v>2522</v>
      </c>
      <c r="G77" s="171" t="s">
        <v>2532</v>
      </c>
      <c r="I77" s="178">
        <v>42613</v>
      </c>
      <c r="J77" s="178">
        <v>42613</v>
      </c>
      <c r="K77" s="178">
        <v>42634</v>
      </c>
      <c r="L77" s="179" t="s">
        <v>2426</v>
      </c>
      <c r="M77" s="180">
        <v>5339</v>
      </c>
      <c r="N77" s="6">
        <f>7951085+43340+278504+319714+130015</f>
        <v>8722658</v>
      </c>
      <c r="O77" s="6">
        <v>0</v>
      </c>
      <c r="P77" s="6">
        <f t="shared" si="7"/>
        <v>1744531.6</v>
      </c>
      <c r="Q77" s="6">
        <f t="shared" si="8"/>
        <v>8722658</v>
      </c>
      <c r="R77" s="6">
        <v>0</v>
      </c>
      <c r="T77" s="4" t="s">
        <v>2291</v>
      </c>
      <c r="U77" s="4" t="s">
        <v>2530</v>
      </c>
      <c r="W77" s="178">
        <v>42961</v>
      </c>
    </row>
    <row r="78" spans="1:23" ht="45" x14ac:dyDescent="0.25">
      <c r="A78" s="7" t="s">
        <v>2297</v>
      </c>
      <c r="B78" t="s">
        <v>2288</v>
      </c>
      <c r="C78">
        <v>1182</v>
      </c>
      <c r="D78">
        <v>15</v>
      </c>
      <c r="E78" s="176" t="s">
        <v>2300</v>
      </c>
      <c r="F78" s="171" t="s">
        <v>2536</v>
      </c>
      <c r="G78" s="171" t="s">
        <v>2537</v>
      </c>
      <c r="I78" s="178">
        <v>42291</v>
      </c>
      <c r="J78" s="178">
        <v>42338</v>
      </c>
      <c r="K78" s="178">
        <v>42338</v>
      </c>
      <c r="L78" s="179" t="s">
        <v>2426</v>
      </c>
      <c r="M78" s="180">
        <v>5337</v>
      </c>
      <c r="N78" s="6">
        <f>5012741+200000+15000000+303191</f>
        <v>20515932</v>
      </c>
      <c r="O78" s="6">
        <v>0</v>
      </c>
      <c r="P78" s="6">
        <f t="shared" si="7"/>
        <v>4103186.4000000004</v>
      </c>
      <c r="Q78" s="6">
        <f t="shared" si="8"/>
        <v>20515932</v>
      </c>
      <c r="R78" s="6">
        <f>Q78-4066266</f>
        <v>16449666</v>
      </c>
      <c r="T78" s="4" t="s">
        <v>2538</v>
      </c>
      <c r="U78" s="4" t="s">
        <v>2533</v>
      </c>
      <c r="W78" s="178">
        <v>42964</v>
      </c>
    </row>
    <row r="79" spans="1:23" x14ac:dyDescent="0.25">
      <c r="A79" s="7" t="s">
        <v>2307</v>
      </c>
      <c r="B79" t="s">
        <v>2288</v>
      </c>
      <c r="C79">
        <v>1182</v>
      </c>
      <c r="D79">
        <v>15</v>
      </c>
      <c r="E79" s="176" t="s">
        <v>2300</v>
      </c>
      <c r="F79" s="176" t="s">
        <v>2429</v>
      </c>
      <c r="G79" s="176" t="s">
        <v>2516</v>
      </c>
      <c r="I79" s="178">
        <v>42291</v>
      </c>
      <c r="J79" s="178">
        <v>42338</v>
      </c>
      <c r="K79" s="178">
        <v>42338</v>
      </c>
      <c r="L79" s="179" t="s">
        <v>2426</v>
      </c>
      <c r="M79" s="180">
        <v>5337</v>
      </c>
      <c r="N79" s="6">
        <f>4747544+71213</f>
        <v>4818757</v>
      </c>
      <c r="O79" s="6">
        <v>0</v>
      </c>
      <c r="P79" s="6">
        <f t="shared" si="7"/>
        <v>963751.4</v>
      </c>
      <c r="Q79" s="6">
        <f t="shared" si="8"/>
        <v>4818757</v>
      </c>
      <c r="R79" s="6">
        <v>4818757</v>
      </c>
      <c r="T79" s="5" t="s">
        <v>2310</v>
      </c>
      <c r="U79" s="4" t="s">
        <v>2533</v>
      </c>
      <c r="W79" s="178">
        <v>42964</v>
      </c>
    </row>
    <row r="80" spans="1:23" ht="30" x14ac:dyDescent="0.25">
      <c r="A80" s="7" t="s">
        <v>2314</v>
      </c>
      <c r="B80" t="s">
        <v>2288</v>
      </c>
      <c r="C80">
        <v>1182</v>
      </c>
      <c r="D80">
        <v>15</v>
      </c>
      <c r="E80" s="176" t="s">
        <v>2300</v>
      </c>
      <c r="F80" s="176" t="s">
        <v>2429</v>
      </c>
      <c r="G80" s="171" t="s">
        <v>2541</v>
      </c>
      <c r="I80" s="178">
        <v>42291</v>
      </c>
      <c r="J80" s="178">
        <v>42338</v>
      </c>
      <c r="K80" s="178">
        <v>42338</v>
      </c>
      <c r="L80" s="179" t="s">
        <v>2426</v>
      </c>
      <c r="M80" s="180">
        <v>5337</v>
      </c>
      <c r="N80" s="6">
        <f>282611+50000+160000+7389</f>
        <v>500000</v>
      </c>
      <c r="O80" s="6">
        <v>0</v>
      </c>
      <c r="P80" s="6">
        <f t="shared" si="7"/>
        <v>100000</v>
      </c>
      <c r="Q80" s="6">
        <f t="shared" si="8"/>
        <v>500000</v>
      </c>
      <c r="R80" s="6">
        <v>500000</v>
      </c>
      <c r="T80" s="4" t="s">
        <v>2315</v>
      </c>
      <c r="U80" s="4" t="s">
        <v>2533</v>
      </c>
      <c r="W80" s="178">
        <v>42964</v>
      </c>
    </row>
    <row r="81" spans="1:23" x14ac:dyDescent="0.25">
      <c r="A81" s="7" t="s">
        <v>2317</v>
      </c>
      <c r="B81" t="s">
        <v>2288</v>
      </c>
      <c r="C81">
        <v>1182</v>
      </c>
      <c r="D81">
        <v>15</v>
      </c>
      <c r="E81" s="176" t="s">
        <v>2300</v>
      </c>
      <c r="F81" s="176" t="s">
        <v>2429</v>
      </c>
      <c r="G81" s="176" t="s">
        <v>2484</v>
      </c>
      <c r="I81" s="178">
        <v>42291</v>
      </c>
      <c r="J81" s="178">
        <v>42338</v>
      </c>
      <c r="K81" s="178">
        <v>42338</v>
      </c>
      <c r="L81" s="179" t="s">
        <v>2426</v>
      </c>
      <c r="M81" s="180">
        <v>5337</v>
      </c>
      <c r="N81" s="6">
        <v>92544904</v>
      </c>
      <c r="O81" s="6">
        <v>0</v>
      </c>
      <c r="P81" s="6">
        <f t="shared" si="7"/>
        <v>18508980.800000001</v>
      </c>
      <c r="Q81" s="6">
        <f t="shared" si="8"/>
        <v>92544904</v>
      </c>
      <c r="R81" s="6">
        <v>92544904</v>
      </c>
      <c r="T81" s="4" t="s">
        <v>2540</v>
      </c>
      <c r="U81" s="4" t="s">
        <v>2533</v>
      </c>
      <c r="W81" s="178">
        <v>42964</v>
      </c>
    </row>
    <row r="82" spans="1:23" ht="45" x14ac:dyDescent="0.25">
      <c r="A82" s="7" t="s">
        <v>2337</v>
      </c>
      <c r="B82" t="s">
        <v>2288</v>
      </c>
      <c r="C82">
        <v>1182</v>
      </c>
      <c r="D82">
        <v>15</v>
      </c>
      <c r="E82" s="176" t="s">
        <v>2300</v>
      </c>
      <c r="F82" s="171" t="s">
        <v>2504</v>
      </c>
      <c r="G82" s="171" t="s">
        <v>2539</v>
      </c>
      <c r="I82" s="178">
        <v>42291</v>
      </c>
      <c r="J82" s="178">
        <v>42338</v>
      </c>
      <c r="K82" s="178">
        <v>42338</v>
      </c>
      <c r="L82" s="179" t="s">
        <v>2426</v>
      </c>
      <c r="M82" s="180">
        <v>5337</v>
      </c>
      <c r="N82" s="6">
        <f>1992462+935222+120000+100000+383000+23404+29557</f>
        <v>3583645</v>
      </c>
      <c r="O82" s="6">
        <v>0</v>
      </c>
      <c r="P82" s="6">
        <f t="shared" si="7"/>
        <v>716729</v>
      </c>
      <c r="Q82" s="6">
        <f t="shared" si="8"/>
        <v>3583645</v>
      </c>
      <c r="R82" s="6">
        <v>3583645</v>
      </c>
      <c r="T82" s="4" t="s">
        <v>2339</v>
      </c>
      <c r="U82" s="4" t="s">
        <v>2533</v>
      </c>
      <c r="W82" s="178">
        <v>42964</v>
      </c>
    </row>
    <row r="83" spans="1:23" x14ac:dyDescent="0.25">
      <c r="A83" s="7" t="s">
        <v>2341</v>
      </c>
      <c r="B83" t="s">
        <v>2288</v>
      </c>
      <c r="C83">
        <v>1182</v>
      </c>
      <c r="D83">
        <v>15</v>
      </c>
      <c r="E83" s="176" t="s">
        <v>2300</v>
      </c>
      <c r="F83" s="176" t="s">
        <v>2429</v>
      </c>
      <c r="G83" s="176" t="s">
        <v>2534</v>
      </c>
      <c r="I83" s="178">
        <v>42291</v>
      </c>
      <c r="J83" s="178">
        <v>42338</v>
      </c>
      <c r="K83" s="178">
        <v>42338</v>
      </c>
      <c r="L83" s="179" t="s">
        <v>2426</v>
      </c>
      <c r="M83" s="180">
        <v>5337</v>
      </c>
      <c r="N83" s="6">
        <f>180000+6042062+117330+1600000</f>
        <v>7939392</v>
      </c>
      <c r="O83" s="6">
        <v>0</v>
      </c>
      <c r="P83" s="6">
        <f t="shared" si="7"/>
        <v>1587878.4000000001</v>
      </c>
      <c r="Q83" s="6">
        <f t="shared" si="8"/>
        <v>7939392</v>
      </c>
      <c r="R83" s="6">
        <v>7939392</v>
      </c>
      <c r="T83" s="4" t="s">
        <v>2535</v>
      </c>
      <c r="U83" s="4" t="s">
        <v>2533</v>
      </c>
      <c r="W83" s="178">
        <v>42964</v>
      </c>
    </row>
    <row r="84" spans="1:23" ht="30" hidden="1" x14ac:dyDescent="0.25">
      <c r="A84" s="7" t="s">
        <v>715</v>
      </c>
      <c r="B84" t="s">
        <v>2288</v>
      </c>
      <c r="C84">
        <v>1182</v>
      </c>
      <c r="D84">
        <v>16</v>
      </c>
      <c r="E84" s="176" t="s">
        <v>2408</v>
      </c>
      <c r="F84" s="176" t="s">
        <v>2542</v>
      </c>
      <c r="G84" s="176" t="s">
        <v>2543</v>
      </c>
      <c r="I84" s="178">
        <v>42439</v>
      </c>
      <c r="J84" s="178">
        <v>42573</v>
      </c>
      <c r="K84" s="178">
        <v>42593</v>
      </c>
      <c r="L84" s="179" t="s">
        <v>2426</v>
      </c>
      <c r="M84" s="180" t="s">
        <v>2544</v>
      </c>
      <c r="N84" s="6">
        <v>1250000</v>
      </c>
      <c r="O84" s="6">
        <v>312500</v>
      </c>
      <c r="P84" s="6">
        <v>0</v>
      </c>
      <c r="Q84" s="6">
        <v>1562000</v>
      </c>
      <c r="R84" s="6">
        <v>307725</v>
      </c>
      <c r="T84" s="4" t="s">
        <v>2545</v>
      </c>
      <c r="U84" s="4" t="s">
        <v>2428</v>
      </c>
      <c r="W84" s="178">
        <v>42961</v>
      </c>
    </row>
    <row r="85" spans="1:23" ht="30" hidden="1" x14ac:dyDescent="0.25">
      <c r="A85" s="7" t="s">
        <v>2335</v>
      </c>
      <c r="B85" t="s">
        <v>2288</v>
      </c>
      <c r="C85">
        <v>1182</v>
      </c>
      <c r="D85">
        <v>16</v>
      </c>
      <c r="E85" s="176" t="s">
        <v>2294</v>
      </c>
      <c r="F85" s="171" t="s">
        <v>2546</v>
      </c>
      <c r="G85" s="171" t="s">
        <v>2547</v>
      </c>
      <c r="I85" s="178">
        <v>42289</v>
      </c>
      <c r="J85" s="178">
        <v>42338</v>
      </c>
      <c r="K85" s="178">
        <v>42338</v>
      </c>
      <c r="L85" s="179" t="s">
        <v>2426</v>
      </c>
      <c r="M85" s="180">
        <v>5339</v>
      </c>
      <c r="N85" s="6">
        <f>3943729+10000+25000+59681</f>
        <v>4038410</v>
      </c>
      <c r="O85" s="6">
        <v>0</v>
      </c>
      <c r="P85" s="6">
        <f>N85*0.2</f>
        <v>807682</v>
      </c>
      <c r="Q85" s="6">
        <f>N85</f>
        <v>4038410</v>
      </c>
      <c r="T85" s="4" t="s">
        <v>2548</v>
      </c>
      <c r="U85" s="4" t="s">
        <v>2549</v>
      </c>
      <c r="W85" s="178">
        <v>42964</v>
      </c>
    </row>
    <row r="86" spans="1:23" hidden="1" x14ac:dyDescent="0.25">
      <c r="A86" s="7" t="s">
        <v>2287</v>
      </c>
      <c r="B86" t="s">
        <v>2288</v>
      </c>
      <c r="C86">
        <v>1182</v>
      </c>
      <c r="D86">
        <v>16</v>
      </c>
      <c r="E86" s="176" t="s">
        <v>2294</v>
      </c>
      <c r="F86" s="171" t="s">
        <v>2550</v>
      </c>
      <c r="G86" s="176" t="s">
        <v>2551</v>
      </c>
      <c r="I86" s="178">
        <v>42289</v>
      </c>
      <c r="J86" s="178">
        <v>42338</v>
      </c>
      <c r="K86" s="178">
        <v>42338</v>
      </c>
      <c r="L86" s="179" t="s">
        <v>2426</v>
      </c>
      <c r="M86" s="180">
        <v>5339</v>
      </c>
      <c r="N86" s="6">
        <f>16616</f>
        <v>16616</v>
      </c>
      <c r="O86" s="6">
        <v>0</v>
      </c>
      <c r="P86" s="6">
        <f>N86*0.2</f>
        <v>3323.2000000000003</v>
      </c>
      <c r="Q86" s="6">
        <f>N86</f>
        <v>16616</v>
      </c>
      <c r="T86" s="4" t="s">
        <v>2293</v>
      </c>
      <c r="U86" s="4" t="s">
        <v>2549</v>
      </c>
      <c r="W86" s="178">
        <v>42964</v>
      </c>
    </row>
    <row r="87" spans="1:23" ht="68.25" hidden="1" customHeight="1" x14ac:dyDescent="0.25">
      <c r="A87" s="7" t="s">
        <v>2287</v>
      </c>
      <c r="B87" s="6" t="s">
        <v>2288</v>
      </c>
      <c r="C87">
        <v>1182</v>
      </c>
      <c r="D87">
        <v>15</v>
      </c>
      <c r="E87" t="s">
        <v>2295</v>
      </c>
      <c r="F87" t="s">
        <v>2522</v>
      </c>
      <c r="G87" s="4" t="s">
        <v>2552</v>
      </c>
      <c r="H87"/>
      <c r="I87" s="178">
        <v>42285</v>
      </c>
      <c r="J87" s="178">
        <v>42338</v>
      </c>
      <c r="K87" s="178">
        <v>42338</v>
      </c>
      <c r="L87" s="179" t="s">
        <v>2426</v>
      </c>
      <c r="M87" s="180">
        <v>5307</v>
      </c>
      <c r="N87" s="6">
        <f>1757718+61568+70678+28742</f>
        <v>1918706</v>
      </c>
      <c r="O87" s="6">
        <v>0</v>
      </c>
      <c r="P87" s="6">
        <f t="shared" ref="P87:P96" si="9">N87*0.2</f>
        <v>383741.2</v>
      </c>
      <c r="Q87" s="6">
        <f t="shared" ref="Q87:Q96" si="10">N87</f>
        <v>1918706</v>
      </c>
      <c r="R87" s="6">
        <v>0</v>
      </c>
      <c r="T87" s="4" t="s">
        <v>2553</v>
      </c>
      <c r="U87" s="4" t="s">
        <v>2554</v>
      </c>
      <c r="W87" s="178">
        <v>42963</v>
      </c>
    </row>
    <row r="88" spans="1:23" ht="68.25" hidden="1" customHeight="1" x14ac:dyDescent="0.25">
      <c r="A88" s="7" t="s">
        <v>2287</v>
      </c>
      <c r="B88" s="6" t="s">
        <v>2288</v>
      </c>
      <c r="C88">
        <v>1182</v>
      </c>
      <c r="D88">
        <v>15</v>
      </c>
      <c r="E88" t="s">
        <v>2295</v>
      </c>
      <c r="F88" t="s">
        <v>2526</v>
      </c>
      <c r="G88" t="s">
        <v>2555</v>
      </c>
      <c r="H88"/>
      <c r="I88" s="178">
        <v>42285</v>
      </c>
      <c r="J88" s="178">
        <v>42338</v>
      </c>
      <c r="K88" s="178">
        <v>42338</v>
      </c>
      <c r="L88" s="179" t="s">
        <v>2426</v>
      </c>
      <c r="M88" s="180">
        <v>5307</v>
      </c>
      <c r="N88" s="6">
        <v>9581</v>
      </c>
      <c r="O88" s="6">
        <v>0</v>
      </c>
      <c r="P88" s="6">
        <f t="shared" si="9"/>
        <v>1916.2</v>
      </c>
      <c r="Q88" s="6">
        <f t="shared" si="10"/>
        <v>9581</v>
      </c>
      <c r="R88" s="6">
        <v>0</v>
      </c>
      <c r="T88" s="4" t="s">
        <v>2296</v>
      </c>
      <c r="U88" s="4" t="s">
        <v>2554</v>
      </c>
      <c r="W88" s="178">
        <v>42963</v>
      </c>
    </row>
    <row r="89" spans="1:23" ht="68.25" hidden="1" customHeight="1" x14ac:dyDescent="0.25">
      <c r="A89" s="7" t="s">
        <v>2335</v>
      </c>
      <c r="B89" s="6" t="s">
        <v>2288</v>
      </c>
      <c r="C89">
        <v>1182</v>
      </c>
      <c r="D89">
        <v>15</v>
      </c>
      <c r="E89" t="s">
        <v>2295</v>
      </c>
      <c r="F89" t="s">
        <v>2522</v>
      </c>
      <c r="G89" s="4" t="s">
        <v>2556</v>
      </c>
      <c r="H89"/>
      <c r="I89" s="178">
        <v>42285</v>
      </c>
      <c r="J89" s="178">
        <v>42338</v>
      </c>
      <c r="K89" s="178">
        <v>42338</v>
      </c>
      <c r="L89" s="179" t="s">
        <v>2426</v>
      </c>
      <c r="M89" s="180">
        <v>5307</v>
      </c>
      <c r="N89" s="6">
        <f>4202102+2702+67547+64085</f>
        <v>4336436</v>
      </c>
      <c r="O89" s="6">
        <v>0</v>
      </c>
      <c r="P89" s="6">
        <f t="shared" si="9"/>
        <v>867287.20000000007</v>
      </c>
      <c r="Q89" s="6">
        <f t="shared" si="10"/>
        <v>4336436</v>
      </c>
      <c r="R89" s="6">
        <v>0</v>
      </c>
      <c r="T89" s="4" t="s">
        <v>2557</v>
      </c>
      <c r="U89" s="4" t="s">
        <v>2554</v>
      </c>
      <c r="W89" s="178">
        <v>42963</v>
      </c>
    </row>
    <row r="90" spans="1:23" ht="68.25" hidden="1" customHeight="1" x14ac:dyDescent="0.25">
      <c r="A90" s="7" t="s">
        <v>2324</v>
      </c>
      <c r="B90" s="6" t="s">
        <v>2288</v>
      </c>
      <c r="C90">
        <v>1182</v>
      </c>
      <c r="D90">
        <v>15</v>
      </c>
      <c r="E90" t="s">
        <v>2295</v>
      </c>
      <c r="F90" t="s">
        <v>2429</v>
      </c>
      <c r="G90" t="s">
        <v>2558</v>
      </c>
      <c r="H90"/>
      <c r="I90" s="178">
        <v>42285</v>
      </c>
      <c r="J90" s="178">
        <v>42338</v>
      </c>
      <c r="K90" s="178">
        <v>42338</v>
      </c>
      <c r="L90" s="179" t="s">
        <v>2426</v>
      </c>
      <c r="M90" s="180">
        <v>5307</v>
      </c>
      <c r="N90" s="6">
        <f>2955665+44335</f>
        <v>3000000</v>
      </c>
      <c r="O90" s="6">
        <v>0</v>
      </c>
      <c r="P90" s="6">
        <f t="shared" si="9"/>
        <v>600000</v>
      </c>
      <c r="Q90" s="6">
        <f t="shared" si="10"/>
        <v>3000000</v>
      </c>
      <c r="R90" s="6">
        <v>0</v>
      </c>
      <c r="T90" s="4" t="s">
        <v>2325</v>
      </c>
      <c r="U90" s="4" t="s">
        <v>2554</v>
      </c>
      <c r="W90" s="178">
        <v>42963</v>
      </c>
    </row>
    <row r="91" spans="1:23" ht="68.25" hidden="1" customHeight="1" x14ac:dyDescent="0.25">
      <c r="A91" s="7" t="s">
        <v>2341</v>
      </c>
      <c r="B91" s="6" t="s">
        <v>2288</v>
      </c>
      <c r="C91">
        <v>1182</v>
      </c>
      <c r="D91">
        <v>15</v>
      </c>
      <c r="E91" t="s">
        <v>2295</v>
      </c>
      <c r="F91" t="s">
        <v>2429</v>
      </c>
      <c r="G91" s="4" t="s">
        <v>2559</v>
      </c>
      <c r="H91"/>
      <c r="I91" s="178">
        <v>42285</v>
      </c>
      <c r="J91" s="178">
        <v>42338</v>
      </c>
      <c r="K91" s="178">
        <v>42338</v>
      </c>
      <c r="L91" s="179" t="s">
        <v>2426</v>
      </c>
      <c r="M91" s="180">
        <v>5307</v>
      </c>
      <c r="N91" s="6">
        <f>5143369+3700211+1138527+4269475+200974</f>
        <v>14452556</v>
      </c>
      <c r="O91" s="6">
        <v>0</v>
      </c>
      <c r="P91" s="6">
        <f t="shared" si="9"/>
        <v>2890511.2</v>
      </c>
      <c r="Q91" s="6">
        <f t="shared" si="10"/>
        <v>14452556</v>
      </c>
      <c r="R91" s="6">
        <v>0</v>
      </c>
      <c r="T91" s="4" t="s">
        <v>2306</v>
      </c>
      <c r="U91" s="4" t="s">
        <v>2554</v>
      </c>
      <c r="W91" s="178">
        <v>42963</v>
      </c>
    </row>
    <row r="92" spans="1:23" ht="68.25" hidden="1" customHeight="1" x14ac:dyDescent="0.25">
      <c r="A92" s="7" t="s">
        <v>2314</v>
      </c>
      <c r="B92" s="6" t="s">
        <v>2288</v>
      </c>
      <c r="C92">
        <v>1182</v>
      </c>
      <c r="D92">
        <v>15</v>
      </c>
      <c r="E92" t="s">
        <v>2295</v>
      </c>
      <c r="F92" t="s">
        <v>2429</v>
      </c>
      <c r="G92" s="4" t="s">
        <v>2559</v>
      </c>
      <c r="H92"/>
      <c r="I92" s="178">
        <v>42285</v>
      </c>
      <c r="J92" s="178">
        <v>42338</v>
      </c>
      <c r="K92" s="178">
        <v>42338</v>
      </c>
      <c r="L92" s="179" t="s">
        <v>2426</v>
      </c>
      <c r="M92" s="180">
        <v>5307</v>
      </c>
      <c r="N92" s="6">
        <f>125000+1125000+150000+5989163+110837</f>
        <v>7500000</v>
      </c>
      <c r="O92" s="6">
        <v>0</v>
      </c>
      <c r="P92" s="6">
        <f t="shared" si="9"/>
        <v>1500000</v>
      </c>
      <c r="Q92" s="6">
        <f t="shared" si="10"/>
        <v>7500000</v>
      </c>
      <c r="R92" s="6">
        <v>0</v>
      </c>
      <c r="T92" s="4" t="s">
        <v>2315</v>
      </c>
      <c r="U92" s="4" t="s">
        <v>2554</v>
      </c>
      <c r="W92" s="178">
        <v>42963</v>
      </c>
    </row>
    <row r="93" spans="1:23" ht="68.25" hidden="1" customHeight="1" x14ac:dyDescent="0.25">
      <c r="A93" s="7" t="s">
        <v>2341</v>
      </c>
      <c r="B93" s="6" t="s">
        <v>2288</v>
      </c>
      <c r="C93">
        <v>1182</v>
      </c>
      <c r="D93">
        <v>15</v>
      </c>
      <c r="E93" t="s">
        <v>2295</v>
      </c>
      <c r="F93" t="s">
        <v>2429</v>
      </c>
      <c r="G93" s="4" t="s">
        <v>2559</v>
      </c>
      <c r="H93"/>
      <c r="I93" s="178">
        <v>42285</v>
      </c>
      <c r="J93" s="178">
        <v>42338</v>
      </c>
      <c r="K93" s="178">
        <v>42338</v>
      </c>
      <c r="L93" s="179" t="s">
        <v>2426</v>
      </c>
      <c r="M93" s="180">
        <v>5307</v>
      </c>
      <c r="N93" s="6">
        <f>1309332+7368894+137968+983806+200000</f>
        <v>10000000</v>
      </c>
      <c r="O93" s="6">
        <v>0</v>
      </c>
      <c r="P93" s="6">
        <f t="shared" si="9"/>
        <v>2000000</v>
      </c>
      <c r="Q93" s="6">
        <f t="shared" si="10"/>
        <v>10000000</v>
      </c>
      <c r="R93" s="6">
        <v>0</v>
      </c>
      <c r="T93" s="4" t="s">
        <v>2343</v>
      </c>
      <c r="U93" s="4" t="s">
        <v>2554</v>
      </c>
      <c r="W93" s="178">
        <v>42963</v>
      </c>
    </row>
    <row r="94" spans="1:23" ht="68.25" hidden="1" customHeight="1" x14ac:dyDescent="0.25">
      <c r="A94" s="7" t="s">
        <v>2307</v>
      </c>
      <c r="B94" s="6" t="s">
        <v>2288</v>
      </c>
      <c r="C94">
        <v>1182</v>
      </c>
      <c r="D94">
        <v>15</v>
      </c>
      <c r="E94" t="s">
        <v>2295</v>
      </c>
      <c r="F94" t="s">
        <v>2429</v>
      </c>
      <c r="G94" t="s">
        <v>2461</v>
      </c>
      <c r="H94"/>
      <c r="I94" s="178">
        <v>42285</v>
      </c>
      <c r="J94" s="178">
        <v>42338</v>
      </c>
      <c r="K94" s="178">
        <v>42338</v>
      </c>
      <c r="L94" s="179" t="s">
        <v>2426</v>
      </c>
      <c r="M94" s="180">
        <v>5307</v>
      </c>
      <c r="N94" s="6">
        <v>220612</v>
      </c>
      <c r="O94" s="6">
        <v>0</v>
      </c>
      <c r="P94" s="6">
        <f t="shared" si="9"/>
        <v>44122.400000000001</v>
      </c>
      <c r="Q94" s="6">
        <f t="shared" si="10"/>
        <v>220612</v>
      </c>
      <c r="R94" s="6">
        <v>0</v>
      </c>
      <c r="T94" s="4" t="s">
        <v>2312</v>
      </c>
      <c r="U94" s="4" t="s">
        <v>2554</v>
      </c>
      <c r="W94" s="178">
        <v>42963</v>
      </c>
    </row>
    <row r="95" spans="1:23" ht="68.25" hidden="1" customHeight="1" x14ac:dyDescent="0.25">
      <c r="A95" s="7" t="s">
        <v>2303</v>
      </c>
      <c r="B95" s="6" t="s">
        <v>2288</v>
      </c>
      <c r="C95">
        <v>1182</v>
      </c>
      <c r="D95">
        <v>15</v>
      </c>
      <c r="E95" t="s">
        <v>2295</v>
      </c>
      <c r="F95" t="s">
        <v>2429</v>
      </c>
      <c r="G95" t="s">
        <v>2560</v>
      </c>
      <c r="H95"/>
      <c r="I95" s="178">
        <v>42285</v>
      </c>
      <c r="J95" s="178">
        <v>42338</v>
      </c>
      <c r="K95" s="178">
        <v>42338</v>
      </c>
      <c r="L95" s="179" t="s">
        <v>2426</v>
      </c>
      <c r="M95" s="180">
        <v>5307</v>
      </c>
      <c r="N95" s="6">
        <f>130000+40000</f>
        <v>170000</v>
      </c>
      <c r="O95" s="6">
        <v>0</v>
      </c>
      <c r="P95" s="6">
        <f t="shared" si="9"/>
        <v>34000</v>
      </c>
      <c r="Q95" s="6">
        <f t="shared" si="10"/>
        <v>170000</v>
      </c>
      <c r="R95" s="6">
        <v>0</v>
      </c>
      <c r="T95" s="4" t="s">
        <v>2306</v>
      </c>
      <c r="U95" s="4" t="s">
        <v>2554</v>
      </c>
      <c r="W95" s="178">
        <v>42963</v>
      </c>
    </row>
    <row r="96" spans="1:23" ht="68.25" hidden="1" customHeight="1" x14ac:dyDescent="0.25">
      <c r="A96" s="7" t="s">
        <v>2337</v>
      </c>
      <c r="B96" s="6" t="s">
        <v>2288</v>
      </c>
      <c r="C96">
        <v>1182</v>
      </c>
      <c r="D96">
        <v>15</v>
      </c>
      <c r="E96" t="s">
        <v>2295</v>
      </c>
      <c r="F96" t="s">
        <v>2429</v>
      </c>
      <c r="G96" s="4" t="s">
        <v>2505</v>
      </c>
      <c r="H96"/>
      <c r="I96" s="178">
        <v>42285</v>
      </c>
      <c r="J96" s="178">
        <v>42338</v>
      </c>
      <c r="K96" s="178">
        <v>42338</v>
      </c>
      <c r="L96" s="179" t="s">
        <v>2426</v>
      </c>
      <c r="M96" s="180">
        <v>5307</v>
      </c>
      <c r="N96" s="6">
        <f>275727+36819+104469+5985</f>
        <v>423000</v>
      </c>
      <c r="O96" s="6">
        <v>0</v>
      </c>
      <c r="P96" s="6">
        <f t="shared" si="9"/>
        <v>84600</v>
      </c>
      <c r="Q96" s="6">
        <f t="shared" si="10"/>
        <v>423000</v>
      </c>
      <c r="R96" s="6">
        <v>0</v>
      </c>
      <c r="T96" s="4" t="s">
        <v>2340</v>
      </c>
      <c r="U96" s="4" t="s">
        <v>2554</v>
      </c>
      <c r="W96" s="178">
        <v>42963</v>
      </c>
    </row>
    <row r="97" spans="1:23" ht="47.25" hidden="1" customHeight="1" x14ac:dyDescent="0.25">
      <c r="A97" s="7" t="s">
        <v>2349</v>
      </c>
      <c r="B97" t="s">
        <v>2348</v>
      </c>
      <c r="C97">
        <v>5118</v>
      </c>
      <c r="D97">
        <v>16</v>
      </c>
      <c r="E97" s="176" t="s">
        <v>2350</v>
      </c>
      <c r="F97" s="176" t="s">
        <v>2561</v>
      </c>
      <c r="G97" s="171" t="s">
        <v>2562</v>
      </c>
      <c r="I97" s="178">
        <v>42440</v>
      </c>
      <c r="J97" s="178">
        <v>42585</v>
      </c>
      <c r="K97" s="178">
        <v>42629</v>
      </c>
      <c r="L97" s="179" t="s">
        <v>2426</v>
      </c>
      <c r="M97" s="180">
        <v>5307</v>
      </c>
      <c r="N97" s="6">
        <v>37977438</v>
      </c>
      <c r="O97" s="6">
        <v>0</v>
      </c>
      <c r="P97" s="6">
        <v>7595488</v>
      </c>
      <c r="Q97" s="6">
        <v>37977438</v>
      </c>
      <c r="R97" s="6">
        <v>0</v>
      </c>
      <c r="T97" s="4" t="s">
        <v>2563</v>
      </c>
      <c r="U97" s="4" t="s">
        <v>2428</v>
      </c>
      <c r="W97" s="178">
        <v>42961</v>
      </c>
    </row>
    <row r="98" spans="1:23" ht="53.25" hidden="1" customHeight="1" x14ac:dyDescent="0.25">
      <c r="A98" s="7" t="s">
        <v>2351</v>
      </c>
      <c r="B98" t="s">
        <v>2348</v>
      </c>
      <c r="C98">
        <v>5118</v>
      </c>
      <c r="D98">
        <v>16</v>
      </c>
      <c r="E98" s="176" t="s">
        <v>2353</v>
      </c>
      <c r="F98" s="176" t="s">
        <v>2561</v>
      </c>
      <c r="G98" s="176" t="s">
        <v>2564</v>
      </c>
      <c r="I98" s="178">
        <v>42538</v>
      </c>
      <c r="J98" s="178">
        <v>42579</v>
      </c>
      <c r="K98" s="178">
        <v>42629</v>
      </c>
      <c r="L98" s="179" t="s">
        <v>2426</v>
      </c>
      <c r="M98" s="180">
        <v>5339</v>
      </c>
      <c r="N98" s="6">
        <v>1525150</v>
      </c>
      <c r="O98" s="6">
        <v>0</v>
      </c>
      <c r="P98" s="6">
        <v>305030</v>
      </c>
      <c r="Q98" s="6">
        <v>1525150</v>
      </c>
      <c r="R98" s="6">
        <v>0</v>
      </c>
      <c r="T98" s="4" t="s">
        <v>2352</v>
      </c>
      <c r="U98" s="4" t="s">
        <v>2428</v>
      </c>
      <c r="W98" s="178">
        <v>42961</v>
      </c>
    </row>
    <row r="99" spans="1:23" ht="53.25" hidden="1" customHeight="1" x14ac:dyDescent="0.25">
      <c r="A99" s="7" t="s">
        <v>2282</v>
      </c>
      <c r="B99" t="s">
        <v>2283</v>
      </c>
      <c r="C99">
        <v>1892</v>
      </c>
      <c r="D99">
        <v>16</v>
      </c>
      <c r="E99" s="176" t="s">
        <v>2285</v>
      </c>
      <c r="F99" s="176" t="s">
        <v>2565</v>
      </c>
      <c r="G99" s="176" t="s">
        <v>2566</v>
      </c>
      <c r="I99" s="178">
        <v>42426</v>
      </c>
      <c r="J99" s="178">
        <v>42501</v>
      </c>
      <c r="K99" s="178">
        <v>42569</v>
      </c>
      <c r="L99" s="179" t="s">
        <v>2426</v>
      </c>
      <c r="M99" s="180" t="s">
        <v>2284</v>
      </c>
      <c r="N99" s="6">
        <v>1800000</v>
      </c>
      <c r="O99" s="6">
        <v>0</v>
      </c>
      <c r="P99" s="6">
        <f>Q99*0.2</f>
        <v>360000</v>
      </c>
      <c r="Q99" s="6">
        <v>1800000</v>
      </c>
      <c r="R99" s="6">
        <v>0</v>
      </c>
      <c r="T99" s="4" t="s">
        <v>2567</v>
      </c>
      <c r="U99" s="4" t="s">
        <v>2568</v>
      </c>
      <c r="W99" s="178">
        <v>42956</v>
      </c>
    </row>
    <row r="100" spans="1:23" ht="27" hidden="1" customHeight="1" x14ac:dyDescent="0.25">
      <c r="A100" s="7" t="s">
        <v>2282</v>
      </c>
      <c r="B100" t="s">
        <v>2283</v>
      </c>
      <c r="C100">
        <v>1892</v>
      </c>
      <c r="D100">
        <v>16</v>
      </c>
      <c r="E100" s="176" t="s">
        <v>2285</v>
      </c>
      <c r="F100" s="176" t="s">
        <v>2429</v>
      </c>
      <c r="G100" s="176" t="s">
        <v>2569</v>
      </c>
      <c r="I100" s="178">
        <v>42426</v>
      </c>
      <c r="J100" s="178">
        <v>42501</v>
      </c>
      <c r="K100" s="178">
        <v>42569</v>
      </c>
      <c r="L100" s="179" t="s">
        <v>2426</v>
      </c>
      <c r="M100" s="180" t="s">
        <v>2284</v>
      </c>
      <c r="N100" s="6">
        <v>200000</v>
      </c>
      <c r="O100" s="6">
        <v>0</v>
      </c>
      <c r="P100" s="6">
        <f>Q100*0.2</f>
        <v>40000</v>
      </c>
      <c r="Q100" s="6">
        <v>200000</v>
      </c>
      <c r="R100" s="6">
        <v>0</v>
      </c>
      <c r="T100" s="4" t="s">
        <v>2567</v>
      </c>
      <c r="U100" s="4" t="s">
        <v>2568</v>
      </c>
      <c r="W100" s="178">
        <v>42956</v>
      </c>
    </row>
    <row r="101" spans="1:23" hidden="1" x14ac:dyDescent="0.25">
      <c r="F101" s="171"/>
      <c r="G101" s="176"/>
    </row>
    <row r="102" spans="1:23" hidden="1" x14ac:dyDescent="0.25">
      <c r="G102" s="176"/>
    </row>
    <row r="103" spans="1:23" hidden="1" x14ac:dyDescent="0.25">
      <c r="G103" s="176"/>
    </row>
    <row r="104" spans="1:23" ht="45.75" hidden="1" customHeight="1" x14ac:dyDescent="0.25">
      <c r="G104" s="176"/>
    </row>
  </sheetData>
  <autoFilter ref="A1:W104">
    <filterColumn colId="20">
      <filters>
        <filter val="In FFY 15 Ob report"/>
      </filters>
    </filterColumn>
    <sortState ref="A78:W83">
      <sortCondition ref="A1:A104"/>
    </sortState>
  </autoFilter>
  <hyperlinks>
    <hyperlink ref="S2" r:id="rId1"/>
    <hyperlink ref="S3" r:id="rId2"/>
    <hyperlink ref="S4" r:id="rId3"/>
    <hyperlink ref="S6" r:id="rId4"/>
    <hyperlink ref="S7" r:id="rId5"/>
    <hyperlink ref="S8" r:id="rId6"/>
    <hyperlink ref="S9" r:id="rId7"/>
    <hyperlink ref="S11" r:id="rId8"/>
    <hyperlink ref="S12" r:id="rId9"/>
    <hyperlink ref="S15" r:id="rId10"/>
    <hyperlink ref="S16" r:id="rId11"/>
    <hyperlink ref="S17" r:id="rId12"/>
    <hyperlink ref="S18" r:id="rId13"/>
    <hyperlink ref="S19" r:id="rId14"/>
    <hyperlink ref="S22" r:id="rId15"/>
    <hyperlink ref="S10" r:id="rId16"/>
  </hyperlinks>
  <pageMargins left="0.7" right="0.7" top="0.75" bottom="0.75" header="0.3" footer="0.3"/>
  <pageSetup orientation="portrait"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5"/>
  <sheetViews>
    <sheetView tabSelected="1" zoomScale="80" zoomScaleNormal="80" workbookViewId="0">
      <pane ySplit="1" topLeftCell="A2" activePane="bottomLeft" state="frozen"/>
      <selection pane="bottomLeft" activeCell="O16" sqref="O16"/>
    </sheetView>
  </sheetViews>
  <sheetFormatPr defaultRowHeight="15" x14ac:dyDescent="0.25"/>
  <cols>
    <col min="1" max="1" width="14.28515625" style="7" customWidth="1"/>
    <col min="2" max="2" width="6.5703125" style="7" customWidth="1"/>
    <col min="3" max="3" width="14.42578125" style="7" customWidth="1"/>
    <col min="4" max="4" width="16.28515625" style="7" customWidth="1"/>
    <col min="5" max="5" width="27.85546875" style="7" customWidth="1"/>
    <col min="6" max="6" width="39.7109375" style="7" customWidth="1"/>
    <col min="7" max="7" width="7.140625" style="7" customWidth="1"/>
    <col min="8" max="8" width="37.140625" style="7" customWidth="1"/>
    <col min="9" max="9" width="15.28515625" style="7" customWidth="1"/>
    <col min="10" max="10" width="17.42578125" style="209" bestFit="1" customWidth="1"/>
    <col min="11" max="11" width="12.85546875" style="209" customWidth="1"/>
    <col min="12" max="12" width="18" style="209" customWidth="1"/>
    <col min="13" max="13" width="14.85546875" style="209" customWidth="1"/>
    <col min="14" max="14" width="21.28515625" style="7" bestFit="1" customWidth="1"/>
    <col min="15" max="15" width="18.28515625" style="7" customWidth="1"/>
    <col min="16" max="16384" width="9.140625" style="7"/>
  </cols>
  <sheetData>
    <row r="1" spans="1:15" s="8" customFormat="1" ht="45" x14ac:dyDescent="0.25">
      <c r="A1" s="1" t="s">
        <v>0</v>
      </c>
      <c r="B1" s="1" t="s">
        <v>1</v>
      </c>
      <c r="C1" s="2" t="s">
        <v>2</v>
      </c>
      <c r="D1" s="2" t="s">
        <v>3</v>
      </c>
      <c r="E1" s="2" t="s">
        <v>4</v>
      </c>
      <c r="F1" s="2" t="s">
        <v>5</v>
      </c>
      <c r="G1" s="2" t="s">
        <v>6</v>
      </c>
      <c r="H1" s="2" t="s">
        <v>7</v>
      </c>
      <c r="I1" s="2" t="s">
        <v>8</v>
      </c>
      <c r="J1" s="208" t="s">
        <v>10</v>
      </c>
      <c r="K1" s="208" t="s">
        <v>11</v>
      </c>
      <c r="L1" s="208" t="s">
        <v>12</v>
      </c>
      <c r="M1" s="208" t="s">
        <v>13</v>
      </c>
      <c r="N1" s="210" t="s">
        <v>204</v>
      </c>
      <c r="O1" s="3" t="s">
        <v>205</v>
      </c>
    </row>
    <row r="2" spans="1:15" s="224" customFormat="1" x14ac:dyDescent="0.25">
      <c r="A2" s="223" t="s">
        <v>297</v>
      </c>
      <c r="B2" s="224" t="s">
        <v>90</v>
      </c>
      <c r="C2" s="224" t="s">
        <v>4692</v>
      </c>
      <c r="D2" s="225" t="s">
        <v>298</v>
      </c>
      <c r="E2" s="224" t="s">
        <v>299</v>
      </c>
      <c r="F2" s="224" t="s">
        <v>300</v>
      </c>
      <c r="G2" s="224" t="s">
        <v>177</v>
      </c>
      <c r="H2" s="224" t="s">
        <v>178</v>
      </c>
      <c r="I2" s="224" t="s">
        <v>224</v>
      </c>
      <c r="J2" s="226"/>
      <c r="K2" s="226"/>
      <c r="L2" s="226">
        <v>242386</v>
      </c>
      <c r="M2" s="226">
        <v>242386</v>
      </c>
      <c r="N2" s="224" t="s">
        <v>79</v>
      </c>
      <c r="O2" s="224" t="s">
        <v>124</v>
      </c>
    </row>
    <row r="3" spans="1:15" s="224" customFormat="1" x14ac:dyDescent="0.25">
      <c r="A3" s="223" t="s">
        <v>268</v>
      </c>
      <c r="B3" s="224" t="s">
        <v>18</v>
      </c>
      <c r="C3" s="224" t="s">
        <v>239</v>
      </c>
      <c r="D3" s="225" t="s">
        <v>239</v>
      </c>
      <c r="E3" s="224" t="s">
        <v>269</v>
      </c>
      <c r="F3" s="224" t="s">
        <v>270</v>
      </c>
      <c r="G3" s="224" t="s">
        <v>117</v>
      </c>
      <c r="H3" s="224" t="s">
        <v>119</v>
      </c>
      <c r="I3" s="224" t="s">
        <v>4757</v>
      </c>
      <c r="J3" s="226"/>
      <c r="K3" s="226"/>
      <c r="L3" s="226">
        <v>70000</v>
      </c>
      <c r="M3" s="226">
        <v>70000</v>
      </c>
      <c r="N3" s="224" t="s">
        <v>4616</v>
      </c>
      <c r="O3" s="224" t="s">
        <v>124</v>
      </c>
    </row>
    <row r="4" spans="1:15" s="224" customFormat="1" x14ac:dyDescent="0.25">
      <c r="A4" s="7" t="s">
        <v>1788</v>
      </c>
      <c r="B4" s="7" t="s">
        <v>18</v>
      </c>
      <c r="C4" s="7" t="s">
        <v>239</v>
      </c>
      <c r="D4" s="7" t="s">
        <v>239</v>
      </c>
      <c r="E4" s="7" t="s">
        <v>41</v>
      </c>
      <c r="F4" s="7" t="s">
        <v>103</v>
      </c>
      <c r="G4" s="7" t="s">
        <v>177</v>
      </c>
      <c r="H4" s="7" t="s">
        <v>178</v>
      </c>
      <c r="I4" s="7" t="s">
        <v>2284</v>
      </c>
      <c r="J4" s="209">
        <v>171600</v>
      </c>
      <c r="K4" s="209">
        <v>42900</v>
      </c>
      <c r="L4" s="209">
        <v>0</v>
      </c>
      <c r="M4" s="209">
        <v>214500</v>
      </c>
      <c r="N4" s="7" t="s">
        <v>4616</v>
      </c>
      <c r="O4" s="7" t="s">
        <v>124</v>
      </c>
    </row>
    <row r="5" spans="1:15" s="224" customFormat="1" x14ac:dyDescent="0.25">
      <c r="A5" s="7" t="s">
        <v>1788</v>
      </c>
      <c r="B5" s="7" t="s">
        <v>18</v>
      </c>
      <c r="C5" s="7" t="s">
        <v>239</v>
      </c>
      <c r="D5" s="7" t="s">
        <v>239</v>
      </c>
      <c r="E5" s="7" t="s">
        <v>41</v>
      </c>
      <c r="F5" s="7" t="s">
        <v>103</v>
      </c>
      <c r="G5" s="7" t="s">
        <v>2345</v>
      </c>
      <c r="H5" s="7" t="s">
        <v>4753</v>
      </c>
      <c r="I5" s="7" t="s">
        <v>2284</v>
      </c>
      <c r="J5" s="209">
        <v>1150400</v>
      </c>
      <c r="K5" s="209">
        <v>287600</v>
      </c>
      <c r="L5" s="209">
        <v>0</v>
      </c>
      <c r="M5" s="209">
        <v>1438000</v>
      </c>
      <c r="N5" s="7" t="s">
        <v>4616</v>
      </c>
      <c r="O5" s="7" t="s">
        <v>124</v>
      </c>
    </row>
    <row r="6" spans="1:15" s="224" customFormat="1" x14ac:dyDescent="0.25">
      <c r="A6" s="223" t="s">
        <v>301</v>
      </c>
      <c r="B6" s="224" t="s">
        <v>90</v>
      </c>
      <c r="C6" s="224" t="s">
        <v>239</v>
      </c>
      <c r="D6" s="225" t="s">
        <v>239</v>
      </c>
      <c r="E6" s="224" t="s">
        <v>302</v>
      </c>
      <c r="F6" s="224" t="s">
        <v>270</v>
      </c>
      <c r="G6" s="224" t="s">
        <v>73</v>
      </c>
      <c r="H6" s="224" t="s">
        <v>245</v>
      </c>
      <c r="I6" s="224" t="s">
        <v>4757</v>
      </c>
      <c r="J6" s="226"/>
      <c r="K6" s="226"/>
      <c r="L6" s="226">
        <v>300000</v>
      </c>
      <c r="M6" s="226">
        <v>300000</v>
      </c>
      <c r="N6" s="224" t="s">
        <v>4616</v>
      </c>
      <c r="O6" s="224" t="s">
        <v>124</v>
      </c>
    </row>
    <row r="7" spans="1:15" s="224" customFormat="1" x14ac:dyDescent="0.25">
      <c r="A7" s="7" t="s">
        <v>301</v>
      </c>
      <c r="B7" s="7" t="s">
        <v>18</v>
      </c>
      <c r="C7" s="7" t="s">
        <v>239</v>
      </c>
      <c r="D7" s="7" t="s">
        <v>239</v>
      </c>
      <c r="E7" s="7" t="s">
        <v>302</v>
      </c>
      <c r="F7" s="7" t="s">
        <v>2582</v>
      </c>
      <c r="G7" s="7" t="s">
        <v>177</v>
      </c>
      <c r="H7" s="7" t="s">
        <v>178</v>
      </c>
      <c r="I7" s="7" t="s">
        <v>2581</v>
      </c>
      <c r="J7" s="209">
        <v>434814</v>
      </c>
      <c r="K7" s="209">
        <v>108703.40000000001</v>
      </c>
      <c r="L7" s="209">
        <v>0</v>
      </c>
      <c r="M7" s="209">
        <v>543517</v>
      </c>
      <c r="N7" s="7" t="s">
        <v>4616</v>
      </c>
      <c r="O7" s="7" t="s">
        <v>126</v>
      </c>
    </row>
    <row r="8" spans="1:15" s="224" customFormat="1" x14ac:dyDescent="0.25">
      <c r="A8" s="7" t="s">
        <v>301</v>
      </c>
      <c r="B8" s="7" t="s">
        <v>18</v>
      </c>
      <c r="C8" s="7" t="s">
        <v>239</v>
      </c>
      <c r="D8" s="7" t="s">
        <v>239</v>
      </c>
      <c r="E8" s="7" t="s">
        <v>302</v>
      </c>
      <c r="F8" s="7" t="s">
        <v>2582</v>
      </c>
      <c r="G8" s="7" t="s">
        <v>2345</v>
      </c>
      <c r="H8" s="7" t="s">
        <v>3948</v>
      </c>
      <c r="I8" s="7" t="s">
        <v>2581</v>
      </c>
      <c r="J8" s="209">
        <v>4005186</v>
      </c>
      <c r="K8" s="209">
        <v>1001296.4</v>
      </c>
      <c r="L8" s="209">
        <v>0</v>
      </c>
      <c r="M8" s="209">
        <v>5006482</v>
      </c>
      <c r="N8" s="7" t="s">
        <v>4616</v>
      </c>
      <c r="O8" s="7" t="s">
        <v>126</v>
      </c>
    </row>
    <row r="9" spans="1:15" s="224" customFormat="1" x14ac:dyDescent="0.25">
      <c r="A9" s="7" t="s">
        <v>301</v>
      </c>
      <c r="B9" s="7" t="s">
        <v>18</v>
      </c>
      <c r="C9" s="7" t="s">
        <v>239</v>
      </c>
      <c r="D9" s="7" t="s">
        <v>239</v>
      </c>
      <c r="E9" s="7" t="s">
        <v>302</v>
      </c>
      <c r="F9" s="7" t="s">
        <v>2582</v>
      </c>
      <c r="G9" s="7" t="s">
        <v>177</v>
      </c>
      <c r="H9" s="7" t="s">
        <v>178</v>
      </c>
      <c r="I9" s="7" t="s">
        <v>3947</v>
      </c>
      <c r="J9" s="209">
        <v>1837186</v>
      </c>
      <c r="K9" s="209">
        <v>459296.60000000003</v>
      </c>
      <c r="L9" s="209">
        <v>0</v>
      </c>
      <c r="M9" s="209">
        <v>2296483</v>
      </c>
      <c r="N9" s="7" t="s">
        <v>4616</v>
      </c>
      <c r="O9" s="7" t="s">
        <v>124</v>
      </c>
    </row>
    <row r="10" spans="1:15" s="224" customFormat="1" x14ac:dyDescent="0.25">
      <c r="A10" s="7" t="s">
        <v>301</v>
      </c>
      <c r="B10" s="7" t="s">
        <v>18</v>
      </c>
      <c r="C10" s="7" t="s">
        <v>239</v>
      </c>
      <c r="D10" s="7" t="s">
        <v>239</v>
      </c>
      <c r="E10" s="7" t="s">
        <v>302</v>
      </c>
      <c r="F10" s="7" t="s">
        <v>2582</v>
      </c>
      <c r="G10" s="7" t="s">
        <v>2345</v>
      </c>
      <c r="H10" s="7" t="s">
        <v>3948</v>
      </c>
      <c r="I10" s="7" t="s">
        <v>3947</v>
      </c>
      <c r="J10" s="209">
        <v>16922814</v>
      </c>
      <c r="K10" s="209">
        <v>4230703.6000000006</v>
      </c>
      <c r="L10" s="209">
        <v>0</v>
      </c>
      <c r="M10" s="209">
        <v>21153518</v>
      </c>
      <c r="N10" s="7" t="s">
        <v>4616</v>
      </c>
      <c r="O10" s="7" t="s">
        <v>124</v>
      </c>
    </row>
    <row r="11" spans="1:15" s="224" customFormat="1" x14ac:dyDescent="0.25">
      <c r="A11" s="7" t="s">
        <v>4036</v>
      </c>
      <c r="B11" s="7" t="s">
        <v>90</v>
      </c>
      <c r="C11" s="7" t="s">
        <v>239</v>
      </c>
      <c r="D11" s="7" t="s">
        <v>4035</v>
      </c>
      <c r="E11" s="7" t="s">
        <v>4034</v>
      </c>
      <c r="F11" s="7" t="s">
        <v>4033</v>
      </c>
      <c r="G11" s="7" t="s">
        <v>212</v>
      </c>
      <c r="H11" s="7" t="s">
        <v>213</v>
      </c>
      <c r="I11" s="7" t="s">
        <v>4032</v>
      </c>
      <c r="J11" s="209">
        <v>1367749</v>
      </c>
      <c r="K11" s="209">
        <v>341937.2</v>
      </c>
      <c r="L11" s="209">
        <v>0</v>
      </c>
      <c r="M11" s="209">
        <v>1709686</v>
      </c>
      <c r="N11" s="7" t="s">
        <v>4627</v>
      </c>
      <c r="O11" s="7" t="s">
        <v>124</v>
      </c>
    </row>
    <row r="12" spans="1:15" s="224" customFormat="1" x14ac:dyDescent="0.25">
      <c r="A12" s="187" t="s">
        <v>725</v>
      </c>
      <c r="B12" s="61" t="s">
        <v>90</v>
      </c>
      <c r="C12" s="61" t="s">
        <v>239</v>
      </c>
      <c r="D12" s="199" t="s">
        <v>239</v>
      </c>
      <c r="E12" s="199" t="s">
        <v>974</v>
      </c>
      <c r="F12" s="199" t="s">
        <v>1190</v>
      </c>
      <c r="G12" s="199" t="s">
        <v>2345</v>
      </c>
      <c r="H12" s="199" t="s">
        <v>1194</v>
      </c>
      <c r="I12" s="199" t="s">
        <v>867</v>
      </c>
      <c r="J12" s="235">
        <v>3878400</v>
      </c>
      <c r="K12" s="211">
        <v>161600</v>
      </c>
      <c r="L12" s="211">
        <v>0</v>
      </c>
      <c r="M12" s="235">
        <v>4040000</v>
      </c>
      <c r="N12" s="61" t="s">
        <v>82</v>
      </c>
      <c r="O12" s="61" t="s">
        <v>124</v>
      </c>
    </row>
    <row r="13" spans="1:15" s="224" customFormat="1" x14ac:dyDescent="0.25">
      <c r="A13" s="7" t="s">
        <v>1796</v>
      </c>
      <c r="B13" s="7" t="s">
        <v>18</v>
      </c>
      <c r="C13" s="7" t="s">
        <v>239</v>
      </c>
      <c r="D13" s="7" t="s">
        <v>239</v>
      </c>
      <c r="E13" s="7" t="s">
        <v>3007</v>
      </c>
      <c r="F13" s="7" t="s">
        <v>3006</v>
      </c>
      <c r="G13" s="7" t="s">
        <v>2345</v>
      </c>
      <c r="H13" s="7" t="s">
        <v>3005</v>
      </c>
      <c r="I13" s="7" t="s">
        <v>2715</v>
      </c>
      <c r="J13" s="209">
        <v>1600000</v>
      </c>
      <c r="K13" s="209">
        <v>468740</v>
      </c>
      <c r="L13" s="209">
        <v>274960</v>
      </c>
      <c r="M13" s="209">
        <v>2343700</v>
      </c>
      <c r="N13" s="7" t="s">
        <v>4616</v>
      </c>
      <c r="O13" s="7" t="s">
        <v>126</v>
      </c>
    </row>
    <row r="14" spans="1:15" s="224" customFormat="1" x14ac:dyDescent="0.25">
      <c r="A14" s="7" t="s">
        <v>1801</v>
      </c>
      <c r="B14" s="7" t="s">
        <v>18</v>
      </c>
      <c r="C14" s="7" t="s">
        <v>239</v>
      </c>
      <c r="D14" s="7" t="s">
        <v>239</v>
      </c>
      <c r="E14" s="7" t="s">
        <v>41</v>
      </c>
      <c r="F14" s="7" t="s">
        <v>103</v>
      </c>
      <c r="G14" s="7" t="s">
        <v>2345</v>
      </c>
      <c r="H14" s="7" t="s">
        <v>3677</v>
      </c>
      <c r="I14" s="7" t="s">
        <v>2284</v>
      </c>
      <c r="J14" s="209">
        <v>1920000</v>
      </c>
      <c r="K14" s="209">
        <v>480000</v>
      </c>
      <c r="L14" s="209">
        <v>0</v>
      </c>
      <c r="M14" s="209">
        <v>2400000</v>
      </c>
      <c r="N14" s="7" t="s">
        <v>4620</v>
      </c>
      <c r="O14" s="7" t="s">
        <v>124</v>
      </c>
    </row>
    <row r="15" spans="1:15" s="224" customFormat="1" x14ac:dyDescent="0.25">
      <c r="A15" s="223" t="s">
        <v>303</v>
      </c>
      <c r="B15" s="224" t="s">
        <v>90</v>
      </c>
      <c r="C15" s="224" t="s">
        <v>239</v>
      </c>
      <c r="D15" s="225" t="s">
        <v>239</v>
      </c>
      <c r="E15" s="224" t="s">
        <v>304</v>
      </c>
      <c r="F15" s="224" t="s">
        <v>305</v>
      </c>
      <c r="G15" s="224" t="s">
        <v>177</v>
      </c>
      <c r="H15" s="224" t="s">
        <v>178</v>
      </c>
      <c r="I15" s="224" t="s">
        <v>4757</v>
      </c>
      <c r="J15" s="226"/>
      <c r="K15" s="226"/>
      <c r="L15" s="226">
        <v>950000</v>
      </c>
      <c r="M15" s="226">
        <v>950000</v>
      </c>
      <c r="N15" s="224" t="s">
        <v>4625</v>
      </c>
      <c r="O15" s="224" t="s">
        <v>124</v>
      </c>
    </row>
    <row r="16" spans="1:15" s="224" customFormat="1" x14ac:dyDescent="0.25">
      <c r="A16" s="187" t="s">
        <v>742</v>
      </c>
      <c r="B16" s="61" t="s">
        <v>90</v>
      </c>
      <c r="C16" s="61" t="s">
        <v>239</v>
      </c>
      <c r="D16" s="199" t="s">
        <v>239</v>
      </c>
      <c r="E16" s="199" t="s">
        <v>987</v>
      </c>
      <c r="F16" s="199" t="s">
        <v>1094</v>
      </c>
      <c r="G16" s="7" t="s">
        <v>2345</v>
      </c>
      <c r="H16" s="199" t="s">
        <v>1207</v>
      </c>
      <c r="I16" s="199" t="s">
        <v>1277</v>
      </c>
      <c r="J16" s="235">
        <v>19496.48</v>
      </c>
      <c r="K16" s="211">
        <v>4874.5200000000004</v>
      </c>
      <c r="L16" s="211">
        <v>0</v>
      </c>
      <c r="M16" s="235">
        <v>24371</v>
      </c>
      <c r="N16" s="61" t="s">
        <v>4625</v>
      </c>
      <c r="O16" s="61" t="s">
        <v>125</v>
      </c>
    </row>
    <row r="17" spans="1:15" s="224" customFormat="1" x14ac:dyDescent="0.25">
      <c r="A17" s="187" t="s">
        <v>742</v>
      </c>
      <c r="B17" s="61" t="s">
        <v>90</v>
      </c>
      <c r="C17" s="61" t="s">
        <v>239</v>
      </c>
      <c r="D17" s="199" t="s">
        <v>239</v>
      </c>
      <c r="E17" s="199" t="s">
        <v>987</v>
      </c>
      <c r="F17" s="199" t="s">
        <v>1094</v>
      </c>
      <c r="G17" s="7" t="s">
        <v>2345</v>
      </c>
      <c r="H17" s="199" t="s">
        <v>1207</v>
      </c>
      <c r="I17" s="199" t="s">
        <v>1277</v>
      </c>
      <c r="J17" s="235">
        <v>3571.75</v>
      </c>
      <c r="K17" s="211">
        <v>1783.25</v>
      </c>
      <c r="L17" s="211">
        <v>0</v>
      </c>
      <c r="M17" s="235">
        <v>5355</v>
      </c>
      <c r="N17" s="61" t="s">
        <v>4625</v>
      </c>
      <c r="O17" s="61" t="s">
        <v>125</v>
      </c>
    </row>
    <row r="18" spans="1:15" s="224" customFormat="1" x14ac:dyDescent="0.25">
      <c r="A18" s="187" t="s">
        <v>766</v>
      </c>
      <c r="B18" s="61" t="s">
        <v>90</v>
      </c>
      <c r="C18" s="61" t="s">
        <v>239</v>
      </c>
      <c r="D18" s="199" t="s">
        <v>239</v>
      </c>
      <c r="E18" s="199" t="s">
        <v>4645</v>
      </c>
      <c r="F18" s="199" t="s">
        <v>4646</v>
      </c>
      <c r="G18" s="7" t="s">
        <v>2345</v>
      </c>
      <c r="H18" s="199" t="s">
        <v>1195</v>
      </c>
      <c r="I18" s="199" t="s">
        <v>1275</v>
      </c>
      <c r="J18" s="235">
        <v>374766.24</v>
      </c>
      <c r="K18" s="211">
        <v>41640.760000000009</v>
      </c>
      <c r="L18" s="211">
        <v>0</v>
      </c>
      <c r="M18" s="235">
        <v>416407</v>
      </c>
      <c r="N18" s="61" t="s">
        <v>4625</v>
      </c>
      <c r="O18" s="61" t="s">
        <v>125</v>
      </c>
    </row>
    <row r="19" spans="1:15" s="224" customFormat="1" x14ac:dyDescent="0.25">
      <c r="A19" s="187" t="s">
        <v>766</v>
      </c>
      <c r="B19" s="186" t="s">
        <v>90</v>
      </c>
      <c r="C19" s="61" t="s">
        <v>239</v>
      </c>
      <c r="D19" s="199" t="s">
        <v>239</v>
      </c>
      <c r="E19" s="199" t="s">
        <v>4645</v>
      </c>
      <c r="F19" s="199" t="s">
        <v>4646</v>
      </c>
      <c r="G19" s="7" t="s">
        <v>2345</v>
      </c>
      <c r="H19" s="199" t="s">
        <v>1195</v>
      </c>
      <c r="I19" s="199" t="s">
        <v>4629</v>
      </c>
      <c r="J19" s="235">
        <v>15773.16</v>
      </c>
      <c r="K19" s="211">
        <v>1751.8400000000001</v>
      </c>
      <c r="L19" s="211">
        <v>0</v>
      </c>
      <c r="M19" s="235">
        <v>17525</v>
      </c>
      <c r="N19" s="61" t="s">
        <v>4625</v>
      </c>
      <c r="O19" s="61" t="s">
        <v>125</v>
      </c>
    </row>
    <row r="20" spans="1:15" s="224" customFormat="1" x14ac:dyDescent="0.25">
      <c r="A20" s="223" t="s">
        <v>306</v>
      </c>
      <c r="B20" s="224" t="s">
        <v>90</v>
      </c>
      <c r="C20" s="224" t="s">
        <v>239</v>
      </c>
      <c r="D20" s="225" t="s">
        <v>239</v>
      </c>
      <c r="E20" s="224" t="s">
        <v>307</v>
      </c>
      <c r="F20" s="224" t="s">
        <v>308</v>
      </c>
      <c r="G20" s="7" t="s">
        <v>212</v>
      </c>
      <c r="H20" s="224" t="s">
        <v>213</v>
      </c>
      <c r="I20" s="224" t="s">
        <v>4757</v>
      </c>
      <c r="J20" s="226"/>
      <c r="K20" s="226"/>
      <c r="L20" s="226">
        <v>2115</v>
      </c>
      <c r="M20" s="226">
        <v>2115</v>
      </c>
      <c r="N20" s="224" t="s">
        <v>4625</v>
      </c>
      <c r="O20" s="224" t="s">
        <v>124</v>
      </c>
    </row>
    <row r="21" spans="1:15" s="224" customFormat="1" x14ac:dyDescent="0.25">
      <c r="A21" s="7" t="s">
        <v>2701</v>
      </c>
      <c r="B21" s="7" t="s">
        <v>90</v>
      </c>
      <c r="C21" s="7" t="s">
        <v>239</v>
      </c>
      <c r="D21" s="7" t="s">
        <v>239</v>
      </c>
      <c r="E21" s="7" t="s">
        <v>2700</v>
      </c>
      <c r="F21" s="7" t="s">
        <v>2699</v>
      </c>
      <c r="G21" s="7" t="s">
        <v>177</v>
      </c>
      <c r="H21" s="7" t="s">
        <v>178</v>
      </c>
      <c r="I21" s="7" t="s">
        <v>1275</v>
      </c>
      <c r="J21" s="209">
        <v>305100</v>
      </c>
      <c r="K21" s="209">
        <v>33900</v>
      </c>
      <c r="L21" s="209">
        <v>0</v>
      </c>
      <c r="M21" s="209">
        <v>339000</v>
      </c>
      <c r="N21" s="7" t="s">
        <v>4623</v>
      </c>
      <c r="O21" s="7" t="s">
        <v>124</v>
      </c>
    </row>
    <row r="22" spans="1:15" s="224" customFormat="1" x14ac:dyDescent="0.25">
      <c r="A22" s="7" t="s">
        <v>2701</v>
      </c>
      <c r="B22" s="7" t="s">
        <v>90</v>
      </c>
      <c r="C22" s="7" t="s">
        <v>239</v>
      </c>
      <c r="D22" s="7" t="s">
        <v>239</v>
      </c>
      <c r="E22" s="7" t="s">
        <v>2700</v>
      </c>
      <c r="F22" s="7" t="s">
        <v>2699</v>
      </c>
      <c r="G22" s="7" t="s">
        <v>2345</v>
      </c>
      <c r="H22" s="7" t="s">
        <v>2698</v>
      </c>
      <c r="I22" s="7" t="s">
        <v>1275</v>
      </c>
      <c r="J22" s="209">
        <v>2745900</v>
      </c>
      <c r="K22" s="209">
        <v>305100</v>
      </c>
      <c r="L22" s="209">
        <v>0</v>
      </c>
      <c r="M22" s="209">
        <v>3051000</v>
      </c>
      <c r="N22" s="7" t="s">
        <v>225</v>
      </c>
      <c r="O22" s="7" t="s">
        <v>125</v>
      </c>
    </row>
    <row r="23" spans="1:15" s="224" customFormat="1" x14ac:dyDescent="0.25">
      <c r="A23" s="215" t="s">
        <v>273</v>
      </c>
      <c r="B23" s="61" t="s">
        <v>90</v>
      </c>
      <c r="C23" s="61" t="s">
        <v>239</v>
      </c>
      <c r="D23" s="199" t="s">
        <v>239</v>
      </c>
      <c r="E23" s="199" t="s">
        <v>233</v>
      </c>
      <c r="F23" s="199" t="s">
        <v>4675</v>
      </c>
      <c r="G23" s="7" t="s">
        <v>2345</v>
      </c>
      <c r="H23" s="199" t="s">
        <v>1252</v>
      </c>
      <c r="I23" s="199" t="s">
        <v>1275</v>
      </c>
      <c r="J23" s="235">
        <v>6270830</v>
      </c>
      <c r="K23" s="211">
        <v>2687499</v>
      </c>
      <c r="L23" s="211">
        <v>0</v>
      </c>
      <c r="M23" s="235">
        <v>8958329</v>
      </c>
      <c r="N23" s="61" t="s">
        <v>4625</v>
      </c>
      <c r="O23" s="61" t="s">
        <v>124</v>
      </c>
    </row>
    <row r="24" spans="1:15" s="224" customFormat="1" x14ac:dyDescent="0.25">
      <c r="A24" s="223" t="s">
        <v>273</v>
      </c>
      <c r="B24" s="224" t="s">
        <v>90</v>
      </c>
      <c r="C24" s="224" t="s">
        <v>239</v>
      </c>
      <c r="D24" s="225" t="s">
        <v>239</v>
      </c>
      <c r="E24" s="224" t="s">
        <v>274</v>
      </c>
      <c r="F24" s="224" t="s">
        <v>275</v>
      </c>
      <c r="G24" s="224" t="s">
        <v>177</v>
      </c>
      <c r="H24" s="224" t="s">
        <v>178</v>
      </c>
      <c r="I24" s="224" t="s">
        <v>4757</v>
      </c>
      <c r="J24" s="226"/>
      <c r="K24" s="226"/>
      <c r="L24" s="226">
        <v>2500000</v>
      </c>
      <c r="M24" s="226">
        <v>2500000</v>
      </c>
      <c r="N24" s="224" t="s">
        <v>4625</v>
      </c>
      <c r="O24" s="224" t="s">
        <v>124</v>
      </c>
    </row>
    <row r="25" spans="1:15" s="224" customFormat="1" x14ac:dyDescent="0.25">
      <c r="A25" s="223" t="s">
        <v>273</v>
      </c>
      <c r="B25" s="224" t="s">
        <v>90</v>
      </c>
      <c r="C25" s="224" t="s">
        <v>239</v>
      </c>
      <c r="D25" s="225" t="s">
        <v>239</v>
      </c>
      <c r="E25" s="224" t="s">
        <v>274</v>
      </c>
      <c r="F25" s="224" t="s">
        <v>275</v>
      </c>
      <c r="G25" s="224" t="s">
        <v>177</v>
      </c>
      <c r="H25" s="224" t="s">
        <v>178</v>
      </c>
      <c r="I25" s="224" t="s">
        <v>4757</v>
      </c>
      <c r="J25" s="226"/>
      <c r="K25" s="226"/>
      <c r="L25" s="226">
        <v>3261786</v>
      </c>
      <c r="M25" s="226">
        <v>3261786</v>
      </c>
      <c r="N25" s="224" t="s">
        <v>4625</v>
      </c>
      <c r="O25" s="224" t="s">
        <v>124</v>
      </c>
    </row>
    <row r="26" spans="1:15" s="224" customFormat="1" x14ac:dyDescent="0.25">
      <c r="A26" s="223" t="s">
        <v>273</v>
      </c>
      <c r="B26" s="224" t="s">
        <v>90</v>
      </c>
      <c r="C26" s="224" t="s">
        <v>239</v>
      </c>
      <c r="D26" s="225" t="s">
        <v>239</v>
      </c>
      <c r="E26" s="224" t="s">
        <v>274</v>
      </c>
      <c r="F26" s="224" t="s">
        <v>275</v>
      </c>
      <c r="G26" s="7" t="s">
        <v>212</v>
      </c>
      <c r="H26" s="224" t="s">
        <v>213</v>
      </c>
      <c r="I26" s="224" t="s">
        <v>4757</v>
      </c>
      <c r="J26" s="226"/>
      <c r="K26" s="226"/>
      <c r="L26" s="226">
        <v>1212259</v>
      </c>
      <c r="M26" s="226">
        <v>1212259</v>
      </c>
      <c r="N26" s="224" t="s">
        <v>4625</v>
      </c>
      <c r="O26" s="224" t="s">
        <v>124</v>
      </c>
    </row>
    <row r="27" spans="1:15" s="224" customFormat="1" x14ac:dyDescent="0.25">
      <c r="A27" s="223" t="s">
        <v>273</v>
      </c>
      <c r="B27" s="224" t="s">
        <v>90</v>
      </c>
      <c r="C27" s="224" t="s">
        <v>239</v>
      </c>
      <c r="D27" s="225" t="s">
        <v>239</v>
      </c>
      <c r="E27" s="224" t="s">
        <v>274</v>
      </c>
      <c r="F27" s="224" t="s">
        <v>275</v>
      </c>
      <c r="G27" s="224" t="s">
        <v>2345</v>
      </c>
      <c r="H27" s="224" t="s">
        <v>219</v>
      </c>
      <c r="I27" s="224" t="s">
        <v>220</v>
      </c>
      <c r="J27" s="226"/>
      <c r="K27" s="226"/>
      <c r="L27" s="226">
        <v>22000</v>
      </c>
      <c r="M27" s="226">
        <v>22000</v>
      </c>
      <c r="N27" s="224" t="s">
        <v>225</v>
      </c>
      <c r="O27" s="224" t="s">
        <v>125</v>
      </c>
    </row>
    <row r="28" spans="1:15" s="224" customFormat="1" x14ac:dyDescent="0.25">
      <c r="A28" s="187" t="s">
        <v>764</v>
      </c>
      <c r="B28" s="61" t="s">
        <v>90</v>
      </c>
      <c r="C28" s="61" t="s">
        <v>239</v>
      </c>
      <c r="D28" s="199" t="s">
        <v>949</v>
      </c>
      <c r="E28" s="199" t="s">
        <v>233</v>
      </c>
      <c r="F28" s="199" t="s">
        <v>1144</v>
      </c>
      <c r="G28" s="7" t="s">
        <v>2345</v>
      </c>
      <c r="H28" s="199" t="s">
        <v>1242</v>
      </c>
      <c r="I28" s="199" t="s">
        <v>2284</v>
      </c>
      <c r="J28" s="235">
        <v>166666.46</v>
      </c>
      <c r="K28" s="211">
        <v>18518.540000000008</v>
      </c>
      <c r="L28" s="211">
        <v>0</v>
      </c>
      <c r="M28" s="235">
        <v>185185</v>
      </c>
      <c r="N28" s="61" t="s">
        <v>225</v>
      </c>
      <c r="O28" s="61" t="s">
        <v>125</v>
      </c>
    </row>
    <row r="29" spans="1:15" s="224" customFormat="1" x14ac:dyDescent="0.25">
      <c r="A29" s="187" t="s">
        <v>764</v>
      </c>
      <c r="B29" s="61" t="s">
        <v>90</v>
      </c>
      <c r="C29" s="61" t="s">
        <v>239</v>
      </c>
      <c r="D29" s="199" t="s">
        <v>949</v>
      </c>
      <c r="E29" s="199" t="s">
        <v>233</v>
      </c>
      <c r="F29" s="199" t="s">
        <v>1169</v>
      </c>
      <c r="G29" s="7" t="s">
        <v>2345</v>
      </c>
      <c r="H29" s="199" t="s">
        <v>74</v>
      </c>
      <c r="I29" s="199" t="s">
        <v>2284</v>
      </c>
      <c r="J29" s="235">
        <v>20000</v>
      </c>
      <c r="K29" s="211">
        <v>5000</v>
      </c>
      <c r="L29" s="211">
        <v>0</v>
      </c>
      <c r="M29" s="235">
        <v>25000</v>
      </c>
      <c r="N29" s="61" t="s">
        <v>225</v>
      </c>
      <c r="O29" s="61" t="s">
        <v>125</v>
      </c>
    </row>
    <row r="30" spans="1:15" s="224" customFormat="1" x14ac:dyDescent="0.25">
      <c r="A30" s="187" t="s">
        <v>764</v>
      </c>
      <c r="B30" s="61" t="s">
        <v>90</v>
      </c>
      <c r="C30" s="61" t="s">
        <v>239</v>
      </c>
      <c r="D30" s="199" t="s">
        <v>239</v>
      </c>
      <c r="E30" s="199" t="s">
        <v>233</v>
      </c>
      <c r="F30" s="199" t="s">
        <v>4674</v>
      </c>
      <c r="G30" s="7" t="s">
        <v>2345</v>
      </c>
      <c r="H30" s="199" t="s">
        <v>74</v>
      </c>
      <c r="I30" s="199" t="s">
        <v>2284</v>
      </c>
      <c r="J30" s="235">
        <v>9888.33</v>
      </c>
      <c r="K30" s="211">
        <v>1098.67</v>
      </c>
      <c r="L30" s="211">
        <v>0</v>
      </c>
      <c r="M30" s="235">
        <v>10987</v>
      </c>
      <c r="N30" s="61" t="s">
        <v>225</v>
      </c>
      <c r="O30" s="61" t="s">
        <v>125</v>
      </c>
    </row>
    <row r="31" spans="1:15" s="224" customFormat="1" x14ac:dyDescent="0.25">
      <c r="A31" s="7" t="s">
        <v>3449</v>
      </c>
      <c r="B31" s="7" t="s">
        <v>18</v>
      </c>
      <c r="C31" s="7" t="s">
        <v>239</v>
      </c>
      <c r="D31" s="7" t="s">
        <v>239</v>
      </c>
      <c r="E31" s="7" t="s">
        <v>41</v>
      </c>
      <c r="F31" s="7" t="s">
        <v>3448</v>
      </c>
      <c r="G31" s="7" t="s">
        <v>177</v>
      </c>
      <c r="H31" s="7" t="s">
        <v>178</v>
      </c>
      <c r="I31" s="7" t="s">
        <v>1278</v>
      </c>
      <c r="J31" s="209">
        <v>85000</v>
      </c>
      <c r="K31" s="209">
        <v>0</v>
      </c>
      <c r="L31" s="209">
        <v>0</v>
      </c>
      <c r="M31" s="209">
        <v>85000</v>
      </c>
      <c r="N31" s="7" t="s">
        <v>4625</v>
      </c>
      <c r="O31" s="7" t="s">
        <v>124</v>
      </c>
    </row>
    <row r="32" spans="1:15" s="224" customFormat="1" x14ac:dyDescent="0.25">
      <c r="A32" s="7" t="s">
        <v>3449</v>
      </c>
      <c r="B32" s="7" t="s">
        <v>18</v>
      </c>
      <c r="C32" s="7" t="s">
        <v>239</v>
      </c>
      <c r="D32" s="7" t="s">
        <v>239</v>
      </c>
      <c r="E32" s="7" t="s">
        <v>41</v>
      </c>
      <c r="F32" s="7" t="s">
        <v>3448</v>
      </c>
      <c r="G32" s="7" t="s">
        <v>2345</v>
      </c>
      <c r="H32" s="7" t="s">
        <v>3118</v>
      </c>
      <c r="I32" s="7" t="s">
        <v>1278</v>
      </c>
      <c r="J32" s="209">
        <v>362270</v>
      </c>
      <c r="K32" s="209">
        <v>0</v>
      </c>
      <c r="L32" s="209">
        <v>0</v>
      </c>
      <c r="M32" s="209">
        <v>362270</v>
      </c>
      <c r="N32" s="7" t="s">
        <v>4616</v>
      </c>
      <c r="O32" s="7" t="s">
        <v>124</v>
      </c>
    </row>
    <row r="33" spans="1:15" s="224" customFormat="1" x14ac:dyDescent="0.25">
      <c r="A33" s="223" t="s">
        <v>309</v>
      </c>
      <c r="B33" s="224" t="s">
        <v>90</v>
      </c>
      <c r="C33" s="224" t="s">
        <v>239</v>
      </c>
      <c r="D33" s="225" t="s">
        <v>239</v>
      </c>
      <c r="E33" s="224" t="s">
        <v>310</v>
      </c>
      <c r="F33" s="224" t="s">
        <v>311</v>
      </c>
      <c r="G33" s="224" t="s">
        <v>177</v>
      </c>
      <c r="H33" s="224" t="s">
        <v>178</v>
      </c>
      <c r="I33" s="224" t="s">
        <v>4757</v>
      </c>
      <c r="J33" s="226"/>
      <c r="K33" s="226"/>
      <c r="L33" s="226">
        <v>1441090</v>
      </c>
      <c r="M33" s="226">
        <v>1441090</v>
      </c>
      <c r="N33" s="224" t="s">
        <v>82</v>
      </c>
      <c r="O33" s="224" t="s">
        <v>214</v>
      </c>
    </row>
    <row r="34" spans="1:15" s="224" customFormat="1" x14ac:dyDescent="0.25">
      <c r="A34" s="223" t="s">
        <v>309</v>
      </c>
      <c r="B34" s="224" t="s">
        <v>90</v>
      </c>
      <c r="C34" s="224" t="s">
        <v>239</v>
      </c>
      <c r="D34" s="225" t="s">
        <v>239</v>
      </c>
      <c r="E34" s="224" t="s">
        <v>310</v>
      </c>
      <c r="F34" s="224" t="s">
        <v>312</v>
      </c>
      <c r="G34" s="224" t="s">
        <v>177</v>
      </c>
      <c r="H34" s="224" t="s">
        <v>178</v>
      </c>
      <c r="I34" s="224" t="s">
        <v>4757</v>
      </c>
      <c r="J34" s="226"/>
      <c r="K34" s="226"/>
      <c r="L34" s="226">
        <v>1497864</v>
      </c>
      <c r="M34" s="226">
        <v>1497864</v>
      </c>
      <c r="N34" s="224" t="s">
        <v>82</v>
      </c>
      <c r="O34" s="224" t="s">
        <v>214</v>
      </c>
    </row>
    <row r="35" spans="1:15" s="224" customFormat="1" x14ac:dyDescent="0.25">
      <c r="A35" s="7" t="s">
        <v>313</v>
      </c>
      <c r="B35" s="7" t="s">
        <v>90</v>
      </c>
      <c r="C35" s="7" t="s">
        <v>239</v>
      </c>
      <c r="D35" s="7" t="s">
        <v>239</v>
      </c>
      <c r="E35" s="7" t="s">
        <v>1032</v>
      </c>
      <c r="F35" s="7" t="s">
        <v>3030</v>
      </c>
      <c r="G35" s="7" t="s">
        <v>2345</v>
      </c>
      <c r="H35" s="7" t="s">
        <v>1195</v>
      </c>
      <c r="I35" s="7" t="s">
        <v>1275</v>
      </c>
      <c r="J35" s="209">
        <v>20144992</v>
      </c>
      <c r="K35" s="209">
        <v>2241641.1</v>
      </c>
      <c r="L35" s="209">
        <v>29777.89999999851</v>
      </c>
      <c r="M35" s="209">
        <v>22416411</v>
      </c>
      <c r="N35" s="7" t="s">
        <v>82</v>
      </c>
      <c r="O35" s="7" t="s">
        <v>126</v>
      </c>
    </row>
    <row r="36" spans="1:15" s="224" customFormat="1" x14ac:dyDescent="0.25">
      <c r="A36" s="7" t="s">
        <v>313</v>
      </c>
      <c r="B36" s="7" t="s">
        <v>90</v>
      </c>
      <c r="C36" s="7" t="s">
        <v>239</v>
      </c>
      <c r="D36" s="7" t="s">
        <v>239</v>
      </c>
      <c r="E36" s="7" t="s">
        <v>1032</v>
      </c>
      <c r="F36" s="7" t="s">
        <v>3030</v>
      </c>
      <c r="G36" s="7" t="s">
        <v>2345</v>
      </c>
      <c r="H36" s="7" t="s">
        <v>1196</v>
      </c>
      <c r="I36" s="7" t="s">
        <v>1275</v>
      </c>
      <c r="J36" s="209">
        <v>8649669</v>
      </c>
      <c r="K36" s="209">
        <v>962270.9</v>
      </c>
      <c r="L36" s="209">
        <v>10769.099999999627</v>
      </c>
      <c r="M36" s="209">
        <v>9622709</v>
      </c>
      <c r="N36" s="7" t="s">
        <v>82</v>
      </c>
      <c r="O36" s="7" t="s">
        <v>126</v>
      </c>
    </row>
    <row r="37" spans="1:15" s="224" customFormat="1" x14ac:dyDescent="0.25">
      <c r="A37" s="187" t="s">
        <v>313</v>
      </c>
      <c r="B37" s="61" t="s">
        <v>90</v>
      </c>
      <c r="C37" s="61" t="s">
        <v>239</v>
      </c>
      <c r="D37" s="199" t="s">
        <v>239</v>
      </c>
      <c r="E37" s="199" t="s">
        <v>4643</v>
      </c>
      <c r="F37" s="199" t="s">
        <v>4644</v>
      </c>
      <c r="G37" s="7" t="s">
        <v>2345</v>
      </c>
      <c r="H37" s="199" t="s">
        <v>1195</v>
      </c>
      <c r="I37" s="199" t="s">
        <v>1275</v>
      </c>
      <c r="J37" s="235">
        <v>2000</v>
      </c>
      <c r="K37" s="211">
        <v>1175</v>
      </c>
      <c r="L37" s="211">
        <v>0</v>
      </c>
      <c r="M37" s="235">
        <v>3175</v>
      </c>
      <c r="N37" s="61" t="s">
        <v>82</v>
      </c>
      <c r="O37" s="61" t="s">
        <v>126</v>
      </c>
    </row>
    <row r="38" spans="1:15" s="224" customFormat="1" x14ac:dyDescent="0.25">
      <c r="A38" s="187" t="s">
        <v>313</v>
      </c>
      <c r="B38" s="61" t="s">
        <v>90</v>
      </c>
      <c r="C38" s="61" t="s">
        <v>239</v>
      </c>
      <c r="D38" s="199" t="s">
        <v>239</v>
      </c>
      <c r="E38" s="199" t="s">
        <v>4643</v>
      </c>
      <c r="F38" s="199" t="s">
        <v>4644</v>
      </c>
      <c r="G38" s="7" t="s">
        <v>2345</v>
      </c>
      <c r="H38" s="199" t="s">
        <v>1195</v>
      </c>
      <c r="I38" s="199" t="s">
        <v>1275</v>
      </c>
      <c r="J38" s="235">
        <v>49826.51</v>
      </c>
      <c r="K38" s="211">
        <v>5536.489999999998</v>
      </c>
      <c r="L38" s="211">
        <v>0</v>
      </c>
      <c r="M38" s="235">
        <v>55363</v>
      </c>
      <c r="N38" s="61" t="s">
        <v>82</v>
      </c>
      <c r="O38" s="61" t="s">
        <v>126</v>
      </c>
    </row>
    <row r="39" spans="1:15" s="224" customFormat="1" x14ac:dyDescent="0.25">
      <c r="A39" s="7" t="s">
        <v>313</v>
      </c>
      <c r="B39" s="7" t="s">
        <v>90</v>
      </c>
      <c r="C39" s="7" t="s">
        <v>239</v>
      </c>
      <c r="D39" s="7" t="s">
        <v>239</v>
      </c>
      <c r="E39" s="7" t="s">
        <v>1032</v>
      </c>
      <c r="F39" s="7" t="s">
        <v>3030</v>
      </c>
      <c r="G39" s="7" t="s">
        <v>177</v>
      </c>
      <c r="H39" s="7" t="s">
        <v>178</v>
      </c>
      <c r="I39" s="7" t="s">
        <v>1275</v>
      </c>
      <c r="J39" s="209">
        <v>882000</v>
      </c>
      <c r="K39" s="209">
        <v>98000</v>
      </c>
      <c r="L39" s="209">
        <v>0</v>
      </c>
      <c r="M39" s="209">
        <v>980000</v>
      </c>
      <c r="N39" s="7" t="s">
        <v>82</v>
      </c>
      <c r="O39" s="7" t="s">
        <v>126</v>
      </c>
    </row>
    <row r="40" spans="1:15" s="224" customFormat="1" x14ac:dyDescent="0.25">
      <c r="A40" s="7" t="s">
        <v>313</v>
      </c>
      <c r="B40" s="7" t="s">
        <v>90</v>
      </c>
      <c r="C40" s="7" t="s">
        <v>239</v>
      </c>
      <c r="D40" s="7" t="s">
        <v>239</v>
      </c>
      <c r="E40" s="7" t="s">
        <v>1032</v>
      </c>
      <c r="F40" s="7" t="s">
        <v>3030</v>
      </c>
      <c r="G40" s="7" t="s">
        <v>177</v>
      </c>
      <c r="H40" s="7" t="s">
        <v>178</v>
      </c>
      <c r="I40" s="7" t="s">
        <v>1275</v>
      </c>
      <c r="J40" s="209">
        <v>2340000</v>
      </c>
      <c r="K40" s="209">
        <v>260000</v>
      </c>
      <c r="L40" s="209">
        <v>0</v>
      </c>
      <c r="M40" s="209">
        <v>2600000</v>
      </c>
      <c r="N40" s="7" t="s">
        <v>82</v>
      </c>
      <c r="O40" s="7" t="s">
        <v>126</v>
      </c>
    </row>
    <row r="41" spans="1:15" s="224" customFormat="1" x14ac:dyDescent="0.25">
      <c r="A41" s="7" t="s">
        <v>313</v>
      </c>
      <c r="B41" s="7" t="s">
        <v>90</v>
      </c>
      <c r="C41" s="7" t="s">
        <v>239</v>
      </c>
      <c r="D41" s="7" t="s">
        <v>239</v>
      </c>
      <c r="E41" s="7" t="s">
        <v>1032</v>
      </c>
      <c r="F41" s="7" t="s">
        <v>3030</v>
      </c>
      <c r="G41" s="7" t="s">
        <v>177</v>
      </c>
      <c r="H41" s="7" t="s">
        <v>178</v>
      </c>
      <c r="I41" s="7" t="s">
        <v>1275</v>
      </c>
      <c r="J41" s="209">
        <v>1035000</v>
      </c>
      <c r="K41" s="209">
        <v>115000</v>
      </c>
      <c r="L41" s="209">
        <v>0</v>
      </c>
      <c r="M41" s="209">
        <v>1150000</v>
      </c>
      <c r="N41" s="7" t="s">
        <v>82</v>
      </c>
      <c r="O41" s="7" t="s">
        <v>126</v>
      </c>
    </row>
    <row r="42" spans="1:15" s="224" customFormat="1" x14ac:dyDescent="0.25">
      <c r="A42" s="7" t="s">
        <v>313</v>
      </c>
      <c r="B42" s="7" t="s">
        <v>90</v>
      </c>
      <c r="C42" s="7" t="s">
        <v>239</v>
      </c>
      <c r="D42" s="7" t="s">
        <v>239</v>
      </c>
      <c r="E42" s="7" t="s">
        <v>1032</v>
      </c>
      <c r="F42" s="7" t="s">
        <v>3030</v>
      </c>
      <c r="G42" s="7" t="s">
        <v>2345</v>
      </c>
      <c r="H42" s="7" t="s">
        <v>1196</v>
      </c>
      <c r="I42" s="7" t="s">
        <v>1275</v>
      </c>
      <c r="J42" s="209">
        <v>7938000</v>
      </c>
      <c r="K42" s="209">
        <v>882000</v>
      </c>
      <c r="L42" s="209">
        <v>0</v>
      </c>
      <c r="M42" s="209">
        <v>8820000</v>
      </c>
      <c r="N42" s="7" t="s">
        <v>82</v>
      </c>
      <c r="O42" s="7" t="s">
        <v>126</v>
      </c>
    </row>
    <row r="43" spans="1:15" s="224" customFormat="1" x14ac:dyDescent="0.25">
      <c r="A43" s="215" t="s">
        <v>313</v>
      </c>
      <c r="B43" s="61" t="s">
        <v>90</v>
      </c>
      <c r="C43" s="61" t="s">
        <v>239</v>
      </c>
      <c r="D43" s="199" t="s">
        <v>239</v>
      </c>
      <c r="E43" s="199" t="s">
        <v>1032</v>
      </c>
      <c r="F43" s="199" t="s">
        <v>1032</v>
      </c>
      <c r="G43" s="7" t="s">
        <v>2345</v>
      </c>
      <c r="H43" s="199" t="s">
        <v>4717</v>
      </c>
      <c r="I43" s="199" t="s">
        <v>4629</v>
      </c>
      <c r="J43" s="235">
        <v>25420.12</v>
      </c>
      <c r="K43" s="211">
        <v>2824.880000000001</v>
      </c>
      <c r="L43" s="211">
        <v>0</v>
      </c>
      <c r="M43" s="235">
        <v>28245</v>
      </c>
      <c r="N43" s="61" t="s">
        <v>82</v>
      </c>
      <c r="O43" s="61" t="s">
        <v>124</v>
      </c>
    </row>
    <row r="44" spans="1:15" s="224" customFormat="1" x14ac:dyDescent="0.25">
      <c r="A44" s="215" t="s">
        <v>313</v>
      </c>
      <c r="B44" s="61" t="s">
        <v>90</v>
      </c>
      <c r="C44" s="61" t="s">
        <v>239</v>
      </c>
      <c r="D44" s="199" t="s">
        <v>239</v>
      </c>
      <c r="E44" s="199" t="s">
        <v>1032</v>
      </c>
      <c r="F44" s="199" t="s">
        <v>1032</v>
      </c>
      <c r="G44" s="7" t="s">
        <v>2345</v>
      </c>
      <c r="H44" s="199" t="s">
        <v>4717</v>
      </c>
      <c r="I44" s="199" t="s">
        <v>4629</v>
      </c>
      <c r="J44" s="235">
        <v>120001.83</v>
      </c>
      <c r="K44" s="211">
        <v>13333.169999999998</v>
      </c>
      <c r="L44" s="211">
        <v>0</v>
      </c>
      <c r="M44" s="235">
        <v>133335</v>
      </c>
      <c r="N44" s="61" t="s">
        <v>82</v>
      </c>
      <c r="O44" s="61" t="s">
        <v>124</v>
      </c>
    </row>
    <row r="45" spans="1:15" s="224" customFormat="1" x14ac:dyDescent="0.25">
      <c r="A45" s="223" t="s">
        <v>313</v>
      </c>
      <c r="B45" s="224" t="s">
        <v>90</v>
      </c>
      <c r="C45" s="224" t="s">
        <v>239</v>
      </c>
      <c r="D45" s="225" t="s">
        <v>239</v>
      </c>
      <c r="E45" s="224" t="s">
        <v>314</v>
      </c>
      <c r="F45" s="224" t="s">
        <v>316</v>
      </c>
      <c r="G45" s="224" t="s">
        <v>177</v>
      </c>
      <c r="H45" s="224" t="s">
        <v>178</v>
      </c>
      <c r="I45" s="224" t="s">
        <v>4757</v>
      </c>
      <c r="J45" s="226"/>
      <c r="K45" s="226"/>
      <c r="L45" s="226">
        <v>1246684</v>
      </c>
      <c r="M45" s="226">
        <v>1246684</v>
      </c>
      <c r="N45" s="224" t="s">
        <v>4624</v>
      </c>
      <c r="O45" s="224" t="s">
        <v>124</v>
      </c>
    </row>
    <row r="46" spans="1:15" s="224" customFormat="1" x14ac:dyDescent="0.25">
      <c r="A46" s="223" t="s">
        <v>313</v>
      </c>
      <c r="B46" s="224" t="s">
        <v>90</v>
      </c>
      <c r="C46" s="224" t="s">
        <v>239</v>
      </c>
      <c r="D46" s="225" t="s">
        <v>239</v>
      </c>
      <c r="E46" s="224" t="s">
        <v>314</v>
      </c>
      <c r="F46" s="224" t="s">
        <v>317</v>
      </c>
      <c r="G46" s="224" t="s">
        <v>177</v>
      </c>
      <c r="H46" s="224" t="s">
        <v>178</v>
      </c>
      <c r="I46" s="224" t="s">
        <v>4757</v>
      </c>
      <c r="J46" s="226"/>
      <c r="K46" s="226"/>
      <c r="L46" s="226">
        <v>1582003</v>
      </c>
      <c r="M46" s="226">
        <v>1582003</v>
      </c>
      <c r="N46" s="224" t="s">
        <v>4624</v>
      </c>
      <c r="O46" s="224" t="s">
        <v>124</v>
      </c>
    </row>
    <row r="47" spans="1:15" s="224" customFormat="1" x14ac:dyDescent="0.25">
      <c r="A47" s="223" t="s">
        <v>313</v>
      </c>
      <c r="B47" s="224" t="s">
        <v>90</v>
      </c>
      <c r="C47" s="224" t="s">
        <v>239</v>
      </c>
      <c r="D47" s="225" t="s">
        <v>239</v>
      </c>
      <c r="E47" s="224" t="s">
        <v>314</v>
      </c>
      <c r="F47" s="224" t="s">
        <v>318</v>
      </c>
      <c r="G47" s="224" t="s">
        <v>177</v>
      </c>
      <c r="H47" s="224" t="s">
        <v>178</v>
      </c>
      <c r="I47" s="224" t="s">
        <v>4757</v>
      </c>
      <c r="J47" s="226"/>
      <c r="K47" s="226"/>
      <c r="L47" s="226">
        <v>410164</v>
      </c>
      <c r="M47" s="226">
        <v>410164</v>
      </c>
      <c r="N47" s="224" t="s">
        <v>4624</v>
      </c>
      <c r="O47" s="224" t="s">
        <v>124</v>
      </c>
    </row>
    <row r="48" spans="1:15" s="224" customFormat="1" x14ac:dyDescent="0.25">
      <c r="A48" s="223" t="s">
        <v>313</v>
      </c>
      <c r="B48" s="224" t="s">
        <v>90</v>
      </c>
      <c r="C48" s="224" t="s">
        <v>239</v>
      </c>
      <c r="D48" s="225" t="s">
        <v>239</v>
      </c>
      <c r="E48" s="224" t="s">
        <v>314</v>
      </c>
      <c r="F48" s="224" t="s">
        <v>319</v>
      </c>
      <c r="G48" s="224" t="s">
        <v>177</v>
      </c>
      <c r="H48" s="224" t="s">
        <v>178</v>
      </c>
      <c r="I48" s="224" t="s">
        <v>4757</v>
      </c>
      <c r="J48" s="226"/>
      <c r="K48" s="226"/>
      <c r="L48" s="226">
        <v>2741568</v>
      </c>
      <c r="M48" s="226">
        <v>2741568</v>
      </c>
      <c r="N48" s="224" t="s">
        <v>4624</v>
      </c>
      <c r="O48" s="224" t="s">
        <v>124</v>
      </c>
    </row>
    <row r="49" spans="1:15" s="224" customFormat="1" x14ac:dyDescent="0.25">
      <c r="A49" s="223" t="s">
        <v>313</v>
      </c>
      <c r="B49" s="224" t="s">
        <v>90</v>
      </c>
      <c r="C49" s="224" t="s">
        <v>239</v>
      </c>
      <c r="D49" s="225" t="s">
        <v>239</v>
      </c>
      <c r="E49" s="224" t="s">
        <v>314</v>
      </c>
      <c r="F49" s="224" t="s">
        <v>315</v>
      </c>
      <c r="G49" s="224" t="s">
        <v>73</v>
      </c>
      <c r="H49" s="224" t="s">
        <v>245</v>
      </c>
      <c r="I49" s="224" t="s">
        <v>4757</v>
      </c>
      <c r="J49" s="226"/>
      <c r="K49" s="226"/>
      <c r="L49" s="226">
        <v>71911.600000000006</v>
      </c>
      <c r="M49" s="226">
        <v>71911.600000000006</v>
      </c>
      <c r="N49" s="224" t="s">
        <v>4624</v>
      </c>
      <c r="O49" s="224" t="s">
        <v>124</v>
      </c>
    </row>
    <row r="50" spans="1:15" s="224" customFormat="1" x14ac:dyDescent="0.25">
      <c r="A50" s="223" t="s">
        <v>313</v>
      </c>
      <c r="B50" s="224" t="s">
        <v>90</v>
      </c>
      <c r="C50" s="224" t="s">
        <v>239</v>
      </c>
      <c r="D50" s="225" t="s">
        <v>239</v>
      </c>
      <c r="E50" s="224" t="s">
        <v>314</v>
      </c>
      <c r="F50" s="224" t="s">
        <v>315</v>
      </c>
      <c r="G50" s="7" t="s">
        <v>212</v>
      </c>
      <c r="H50" s="224" t="s">
        <v>213</v>
      </c>
      <c r="I50" s="224" t="s">
        <v>4757</v>
      </c>
      <c r="J50" s="226"/>
      <c r="K50" s="226"/>
      <c r="L50" s="226">
        <v>6299213</v>
      </c>
      <c r="M50" s="226">
        <v>6299213</v>
      </c>
      <c r="N50" s="224" t="s">
        <v>4624</v>
      </c>
      <c r="O50" s="224" t="s">
        <v>124</v>
      </c>
    </row>
    <row r="51" spans="1:15" s="224" customFormat="1" x14ac:dyDescent="0.25">
      <c r="A51" s="215" t="s">
        <v>825</v>
      </c>
      <c r="B51" s="186" t="s">
        <v>90</v>
      </c>
      <c r="C51" s="61" t="s">
        <v>239</v>
      </c>
      <c r="D51" s="199" t="s">
        <v>239</v>
      </c>
      <c r="E51" s="199" t="s">
        <v>41</v>
      </c>
      <c r="F51" s="199" t="s">
        <v>41</v>
      </c>
      <c r="G51" s="7" t="s">
        <v>2345</v>
      </c>
      <c r="H51" s="199" t="s">
        <v>4727</v>
      </c>
      <c r="I51" s="199" t="s">
        <v>1275</v>
      </c>
      <c r="J51" s="235">
        <v>1034309</v>
      </c>
      <c r="K51" s="211">
        <v>258577</v>
      </c>
      <c r="L51" s="211">
        <v>0</v>
      </c>
      <c r="M51" s="235">
        <v>1292886</v>
      </c>
      <c r="N51" s="61" t="s">
        <v>4683</v>
      </c>
      <c r="O51" s="61" t="s">
        <v>125</v>
      </c>
    </row>
    <row r="52" spans="1:15" s="224" customFormat="1" ht="15.75" x14ac:dyDescent="0.25">
      <c r="A52" s="187" t="s">
        <v>853</v>
      </c>
      <c r="B52" s="186" t="s">
        <v>18</v>
      </c>
      <c r="C52" s="61" t="s">
        <v>239</v>
      </c>
      <c r="D52" s="199" t="s">
        <v>239</v>
      </c>
      <c r="E52" s="199" t="s">
        <v>1072</v>
      </c>
      <c r="F52" s="199" t="s">
        <v>1185</v>
      </c>
      <c r="G52" s="7" t="s">
        <v>117</v>
      </c>
      <c r="H52" s="10" t="s">
        <v>4728</v>
      </c>
      <c r="I52" s="199" t="s">
        <v>2581</v>
      </c>
      <c r="J52" s="235">
        <v>28290</v>
      </c>
      <c r="K52" s="211">
        <v>7073</v>
      </c>
      <c r="L52" s="211">
        <v>0</v>
      </c>
      <c r="M52" s="235">
        <v>35363</v>
      </c>
      <c r="N52" s="61" t="s">
        <v>4616</v>
      </c>
      <c r="O52" s="61" t="s">
        <v>124</v>
      </c>
    </row>
    <row r="53" spans="1:15" s="224" customFormat="1" x14ac:dyDescent="0.25">
      <c r="A53" s="7" t="s">
        <v>4501</v>
      </c>
      <c r="B53" s="7" t="s">
        <v>18</v>
      </c>
      <c r="C53" s="7" t="s">
        <v>239</v>
      </c>
      <c r="D53" s="7" t="s">
        <v>239</v>
      </c>
      <c r="E53" s="7" t="s">
        <v>4500</v>
      </c>
      <c r="F53" s="7" t="s">
        <v>4499</v>
      </c>
      <c r="G53" s="7" t="s">
        <v>117</v>
      </c>
      <c r="H53" s="7" t="s">
        <v>119</v>
      </c>
      <c r="I53" s="7" t="s">
        <v>2581</v>
      </c>
      <c r="J53" s="209">
        <v>318713</v>
      </c>
      <c r="K53" s="209">
        <v>39839.100000000006</v>
      </c>
      <c r="L53" s="209">
        <v>39838.900000000023</v>
      </c>
      <c r="M53" s="209">
        <v>398391</v>
      </c>
      <c r="N53" s="7" t="s">
        <v>4616</v>
      </c>
      <c r="O53" s="7" t="s">
        <v>124</v>
      </c>
    </row>
    <row r="54" spans="1:15" s="224" customFormat="1" x14ac:dyDescent="0.25">
      <c r="A54" s="7" t="s">
        <v>3050</v>
      </c>
      <c r="B54" s="7" t="s">
        <v>18</v>
      </c>
      <c r="C54" s="7" t="s">
        <v>239</v>
      </c>
      <c r="D54" s="7" t="s">
        <v>239</v>
      </c>
      <c r="E54" s="7" t="s">
        <v>3049</v>
      </c>
      <c r="F54" s="7" t="s">
        <v>3048</v>
      </c>
      <c r="G54" s="7" t="s">
        <v>2345</v>
      </c>
      <c r="H54" s="7" t="s">
        <v>651</v>
      </c>
      <c r="I54" s="7" t="s">
        <v>3040</v>
      </c>
      <c r="J54" s="209">
        <v>531116</v>
      </c>
      <c r="K54" s="209">
        <v>132779</v>
      </c>
      <c r="L54" s="209">
        <v>0</v>
      </c>
      <c r="M54" s="209">
        <v>663895</v>
      </c>
      <c r="N54" s="7" t="s">
        <v>4625</v>
      </c>
      <c r="O54" s="7" t="s">
        <v>125</v>
      </c>
    </row>
    <row r="55" spans="1:15" s="224" customFormat="1" x14ac:dyDescent="0.25">
      <c r="A55" s="7" t="s">
        <v>3050</v>
      </c>
      <c r="B55" s="7" t="s">
        <v>18</v>
      </c>
      <c r="C55" s="7" t="s">
        <v>239</v>
      </c>
      <c r="D55" s="7" t="s">
        <v>239</v>
      </c>
      <c r="E55" s="7" t="s">
        <v>3049</v>
      </c>
      <c r="F55" s="7" t="s">
        <v>3048</v>
      </c>
      <c r="G55" s="7" t="s">
        <v>177</v>
      </c>
      <c r="H55" s="7" t="s">
        <v>178</v>
      </c>
      <c r="I55" s="7" t="s">
        <v>3040</v>
      </c>
      <c r="J55" s="209">
        <v>128000</v>
      </c>
      <c r="K55" s="209">
        <v>32000</v>
      </c>
      <c r="L55" s="209">
        <v>0</v>
      </c>
      <c r="M55" s="209">
        <v>160000</v>
      </c>
      <c r="N55" s="7" t="s">
        <v>4625</v>
      </c>
      <c r="O55" s="7" t="s">
        <v>125</v>
      </c>
    </row>
    <row r="56" spans="1:15" s="224" customFormat="1" x14ac:dyDescent="0.25">
      <c r="A56" s="7" t="s">
        <v>3056</v>
      </c>
      <c r="B56" s="7" t="s">
        <v>90</v>
      </c>
      <c r="C56" s="7" t="s">
        <v>239</v>
      </c>
      <c r="D56" s="7" t="s">
        <v>239</v>
      </c>
      <c r="E56" s="7" t="s">
        <v>240</v>
      </c>
      <c r="F56" s="7" t="s">
        <v>3055</v>
      </c>
      <c r="G56" s="7" t="s">
        <v>2345</v>
      </c>
      <c r="H56" s="7" t="s">
        <v>74</v>
      </c>
      <c r="I56" s="7" t="s">
        <v>1275</v>
      </c>
      <c r="J56" s="209">
        <v>1796249</v>
      </c>
      <c r="K56" s="209">
        <v>202208.30000000002</v>
      </c>
      <c r="L56" s="209">
        <v>23625.699999999953</v>
      </c>
      <c r="M56" s="209">
        <v>2022083</v>
      </c>
      <c r="N56" s="7" t="s">
        <v>225</v>
      </c>
      <c r="O56" s="7" t="s">
        <v>125</v>
      </c>
    </row>
    <row r="57" spans="1:15" s="224" customFormat="1" x14ac:dyDescent="0.25">
      <c r="A57" s="7" t="s">
        <v>3056</v>
      </c>
      <c r="B57" s="7" t="s">
        <v>90</v>
      </c>
      <c r="C57" s="7" t="s">
        <v>239</v>
      </c>
      <c r="D57" s="7" t="s">
        <v>239</v>
      </c>
      <c r="E57" s="7" t="s">
        <v>240</v>
      </c>
      <c r="F57" s="7" t="s">
        <v>3055</v>
      </c>
      <c r="G57" s="7" t="s">
        <v>177</v>
      </c>
      <c r="H57" s="7" t="s">
        <v>178</v>
      </c>
      <c r="I57" s="7" t="s">
        <v>1275</v>
      </c>
      <c r="J57" s="209">
        <v>135000</v>
      </c>
      <c r="K57" s="209">
        <v>15000</v>
      </c>
      <c r="L57" s="209">
        <v>0</v>
      </c>
      <c r="M57" s="209">
        <v>150000</v>
      </c>
      <c r="N57" s="7" t="s">
        <v>225</v>
      </c>
      <c r="O57" s="7" t="s">
        <v>125</v>
      </c>
    </row>
    <row r="58" spans="1:15" s="224" customFormat="1" x14ac:dyDescent="0.25">
      <c r="A58" s="7" t="s">
        <v>2934</v>
      </c>
      <c r="B58" s="7" t="s">
        <v>18</v>
      </c>
      <c r="C58" s="7" t="s">
        <v>239</v>
      </c>
      <c r="D58" s="7" t="s">
        <v>239</v>
      </c>
      <c r="E58" s="7" t="s">
        <v>41</v>
      </c>
      <c r="F58" s="7" t="s">
        <v>2962</v>
      </c>
      <c r="G58" s="7" t="s">
        <v>2345</v>
      </c>
      <c r="H58" s="7" t="s">
        <v>74</v>
      </c>
      <c r="I58" s="7" t="s">
        <v>2581</v>
      </c>
      <c r="J58" s="209">
        <v>9003682.6699999999</v>
      </c>
      <c r="K58" s="209">
        <v>2250920.6680000001</v>
      </c>
      <c r="L58" s="209">
        <v>0</v>
      </c>
      <c r="M58" s="209">
        <v>11254603.34</v>
      </c>
      <c r="N58" s="7" t="s">
        <v>225</v>
      </c>
      <c r="O58" s="7" t="s">
        <v>125</v>
      </c>
    </row>
    <row r="59" spans="1:15" s="224" customFormat="1" x14ac:dyDescent="0.25">
      <c r="A59" s="7" t="s">
        <v>2934</v>
      </c>
      <c r="B59" s="7" t="s">
        <v>18</v>
      </c>
      <c r="C59" s="7" t="s">
        <v>239</v>
      </c>
      <c r="D59" s="7" t="s">
        <v>239</v>
      </c>
      <c r="E59" s="7" t="s">
        <v>41</v>
      </c>
      <c r="F59" s="7" t="s">
        <v>2940</v>
      </c>
      <c r="G59" s="7" t="s">
        <v>2345</v>
      </c>
      <c r="H59" s="7" t="s">
        <v>74</v>
      </c>
      <c r="I59" s="7" t="s">
        <v>2581</v>
      </c>
      <c r="J59" s="209">
        <v>6271755.4800000004</v>
      </c>
      <c r="K59" s="209">
        <v>1567938.87</v>
      </c>
      <c r="L59" s="209">
        <v>0</v>
      </c>
      <c r="M59" s="209">
        <v>7839694.3499999996</v>
      </c>
      <c r="N59" s="7" t="s">
        <v>225</v>
      </c>
      <c r="O59" s="7" t="s">
        <v>125</v>
      </c>
    </row>
    <row r="60" spans="1:15" s="224" customFormat="1" x14ac:dyDescent="0.25">
      <c r="A60" s="7" t="s">
        <v>2934</v>
      </c>
      <c r="B60" s="7" t="s">
        <v>18</v>
      </c>
      <c r="C60" s="7" t="s">
        <v>239</v>
      </c>
      <c r="D60" s="7" t="s">
        <v>239</v>
      </c>
      <c r="E60" s="7" t="s">
        <v>41</v>
      </c>
      <c r="F60" s="7" t="s">
        <v>2956</v>
      </c>
      <c r="G60" s="7" t="s">
        <v>2345</v>
      </c>
      <c r="H60" s="7" t="s">
        <v>74</v>
      </c>
      <c r="I60" s="7" t="s">
        <v>2581</v>
      </c>
      <c r="J60" s="209">
        <v>5555201.3200000003</v>
      </c>
      <c r="K60" s="209">
        <v>1388800.33</v>
      </c>
      <c r="L60" s="209">
        <v>0</v>
      </c>
      <c r="M60" s="209">
        <v>6944001.6500000004</v>
      </c>
      <c r="N60" s="7" t="s">
        <v>225</v>
      </c>
      <c r="O60" s="7" t="s">
        <v>125</v>
      </c>
    </row>
    <row r="61" spans="1:15" s="224" customFormat="1" x14ac:dyDescent="0.25">
      <c r="A61" s="7" t="s">
        <v>2934</v>
      </c>
      <c r="B61" s="7" t="s">
        <v>18</v>
      </c>
      <c r="C61" s="7" t="s">
        <v>239</v>
      </c>
      <c r="D61" s="7" t="s">
        <v>239</v>
      </c>
      <c r="E61" s="7" t="s">
        <v>41</v>
      </c>
      <c r="F61" s="7" t="s">
        <v>2933</v>
      </c>
      <c r="G61" s="7" t="s">
        <v>2345</v>
      </c>
      <c r="H61" s="7" t="s">
        <v>74</v>
      </c>
      <c r="I61" s="7" t="s">
        <v>2581</v>
      </c>
      <c r="J61" s="209">
        <v>4796906.76</v>
      </c>
      <c r="K61" s="209">
        <v>1199226.6900000002</v>
      </c>
      <c r="L61" s="209">
        <v>0</v>
      </c>
      <c r="M61" s="209">
        <v>5996133.4500000002</v>
      </c>
      <c r="N61" s="7" t="s">
        <v>225</v>
      </c>
      <c r="O61" s="7" t="s">
        <v>125</v>
      </c>
    </row>
    <row r="62" spans="1:15" s="224" customFormat="1" x14ac:dyDescent="0.25">
      <c r="A62" s="7" t="s">
        <v>2934</v>
      </c>
      <c r="B62" s="7" t="s">
        <v>18</v>
      </c>
      <c r="C62" s="7" t="s">
        <v>239</v>
      </c>
      <c r="D62" s="7" t="s">
        <v>239</v>
      </c>
      <c r="E62" s="7" t="s">
        <v>41</v>
      </c>
      <c r="F62" s="7" t="s">
        <v>2962</v>
      </c>
      <c r="G62" s="7" t="s">
        <v>177</v>
      </c>
      <c r="H62" s="7" t="s">
        <v>178</v>
      </c>
      <c r="I62" s="7" t="s">
        <v>2581</v>
      </c>
      <c r="J62" s="209">
        <v>1432000</v>
      </c>
      <c r="K62" s="209">
        <v>358000</v>
      </c>
      <c r="L62" s="209">
        <v>0</v>
      </c>
      <c r="M62" s="209">
        <v>1790000</v>
      </c>
      <c r="N62" s="7" t="s">
        <v>225</v>
      </c>
      <c r="O62" s="7" t="s">
        <v>125</v>
      </c>
    </row>
    <row r="63" spans="1:15" s="224" customFormat="1" x14ac:dyDescent="0.25">
      <c r="A63" s="7" t="s">
        <v>2934</v>
      </c>
      <c r="B63" s="7" t="s">
        <v>18</v>
      </c>
      <c r="C63" s="7" t="s">
        <v>239</v>
      </c>
      <c r="D63" s="7" t="s">
        <v>239</v>
      </c>
      <c r="E63" s="7" t="s">
        <v>41</v>
      </c>
      <c r="F63" s="7" t="s">
        <v>2940</v>
      </c>
      <c r="G63" s="7" t="s">
        <v>177</v>
      </c>
      <c r="H63" s="7" t="s">
        <v>178</v>
      </c>
      <c r="I63" s="7" t="s">
        <v>2581</v>
      </c>
      <c r="J63" s="209">
        <v>1192000</v>
      </c>
      <c r="K63" s="209">
        <v>298000</v>
      </c>
      <c r="L63" s="209">
        <v>0</v>
      </c>
      <c r="M63" s="209">
        <v>1490000</v>
      </c>
      <c r="N63" s="7" t="s">
        <v>225</v>
      </c>
      <c r="O63" s="7" t="s">
        <v>125</v>
      </c>
    </row>
    <row r="64" spans="1:15" s="224" customFormat="1" x14ac:dyDescent="0.25">
      <c r="A64" s="7" t="s">
        <v>2934</v>
      </c>
      <c r="B64" s="7" t="s">
        <v>18</v>
      </c>
      <c r="C64" s="7" t="s">
        <v>239</v>
      </c>
      <c r="D64" s="7" t="s">
        <v>239</v>
      </c>
      <c r="E64" s="7" t="s">
        <v>41</v>
      </c>
      <c r="F64" s="7" t="s">
        <v>2956</v>
      </c>
      <c r="G64" s="7" t="s">
        <v>177</v>
      </c>
      <c r="H64" s="7" t="s">
        <v>178</v>
      </c>
      <c r="I64" s="7" t="s">
        <v>2581</v>
      </c>
      <c r="J64" s="209">
        <v>992000</v>
      </c>
      <c r="K64" s="209">
        <v>248000</v>
      </c>
      <c r="L64" s="209">
        <v>0</v>
      </c>
      <c r="M64" s="209">
        <v>1240000</v>
      </c>
      <c r="N64" s="7" t="s">
        <v>225</v>
      </c>
      <c r="O64" s="7" t="s">
        <v>125</v>
      </c>
    </row>
    <row r="65" spans="1:15" s="224" customFormat="1" x14ac:dyDescent="0.25">
      <c r="A65" s="7" t="s">
        <v>2934</v>
      </c>
      <c r="B65" s="7" t="s">
        <v>18</v>
      </c>
      <c r="C65" s="7" t="s">
        <v>239</v>
      </c>
      <c r="D65" s="7" t="s">
        <v>239</v>
      </c>
      <c r="E65" s="7" t="s">
        <v>41</v>
      </c>
      <c r="F65" s="7" t="s">
        <v>2933</v>
      </c>
      <c r="G65" s="7" t="s">
        <v>177</v>
      </c>
      <c r="H65" s="7" t="s">
        <v>178</v>
      </c>
      <c r="I65" s="7" t="s">
        <v>2581</v>
      </c>
      <c r="J65" s="209">
        <v>832000</v>
      </c>
      <c r="K65" s="209">
        <v>208000</v>
      </c>
      <c r="L65" s="209">
        <v>0</v>
      </c>
      <c r="M65" s="209">
        <v>1040000</v>
      </c>
      <c r="N65" s="7" t="s">
        <v>225</v>
      </c>
      <c r="O65" s="7" t="s">
        <v>125</v>
      </c>
    </row>
    <row r="66" spans="1:15" s="224" customFormat="1" x14ac:dyDescent="0.25">
      <c r="A66" s="187" t="s">
        <v>724</v>
      </c>
      <c r="B66" s="61" t="s">
        <v>18</v>
      </c>
      <c r="C66" s="61" t="s">
        <v>239</v>
      </c>
      <c r="D66" s="199" t="s">
        <v>239</v>
      </c>
      <c r="E66" s="199" t="s">
        <v>41</v>
      </c>
      <c r="F66" s="199" t="s">
        <v>41</v>
      </c>
      <c r="G66" s="7" t="s">
        <v>2345</v>
      </c>
      <c r="H66" s="199" t="s">
        <v>4706</v>
      </c>
      <c r="I66" s="199" t="s">
        <v>2581</v>
      </c>
      <c r="J66" s="235">
        <v>84000</v>
      </c>
      <c r="K66" s="211">
        <v>21000</v>
      </c>
      <c r="L66" s="211">
        <v>0</v>
      </c>
      <c r="M66" s="235">
        <v>105000</v>
      </c>
      <c r="N66" s="61" t="s">
        <v>4622</v>
      </c>
      <c r="O66" s="61" t="s">
        <v>124</v>
      </c>
    </row>
    <row r="67" spans="1:15" s="224" customFormat="1" x14ac:dyDescent="0.25">
      <c r="A67" s="7" t="s">
        <v>1829</v>
      </c>
      <c r="B67" s="7" t="s">
        <v>18</v>
      </c>
      <c r="C67" s="7" t="s">
        <v>239</v>
      </c>
      <c r="D67" s="7" t="s">
        <v>239</v>
      </c>
      <c r="E67" s="7" t="s">
        <v>41</v>
      </c>
      <c r="F67" s="7" t="s">
        <v>103</v>
      </c>
      <c r="G67" s="7" t="s">
        <v>2345</v>
      </c>
      <c r="H67" s="7" t="s">
        <v>2693</v>
      </c>
      <c r="I67" s="7" t="s">
        <v>2284</v>
      </c>
      <c r="J67" s="209">
        <v>1961890</v>
      </c>
      <c r="K67" s="209">
        <v>490472.60000000003</v>
      </c>
      <c r="L67" s="209">
        <v>0</v>
      </c>
      <c r="M67" s="209">
        <v>2452363</v>
      </c>
      <c r="N67" s="7" t="s">
        <v>4616</v>
      </c>
      <c r="O67" s="7" t="s">
        <v>124</v>
      </c>
    </row>
    <row r="68" spans="1:15" s="224" customFormat="1" x14ac:dyDescent="0.25">
      <c r="A68" s="187" t="s">
        <v>854</v>
      </c>
      <c r="B68" s="61" t="s">
        <v>18</v>
      </c>
      <c r="C68" s="61" t="s">
        <v>239</v>
      </c>
      <c r="D68" s="199" t="s">
        <v>239</v>
      </c>
      <c r="E68" s="199" t="s">
        <v>1073</v>
      </c>
      <c r="F68" s="199" t="s">
        <v>41</v>
      </c>
      <c r="G68" s="7" t="s">
        <v>117</v>
      </c>
      <c r="H68" s="199" t="s">
        <v>4712</v>
      </c>
      <c r="I68" s="199" t="s">
        <v>2581</v>
      </c>
      <c r="J68" s="235">
        <v>13035.98</v>
      </c>
      <c r="K68" s="211">
        <v>3259.0200000000004</v>
      </c>
      <c r="L68" s="211">
        <v>0</v>
      </c>
      <c r="M68" s="235">
        <v>16295</v>
      </c>
      <c r="N68" s="61" t="s">
        <v>4625</v>
      </c>
      <c r="O68" s="61" t="s">
        <v>125</v>
      </c>
    </row>
    <row r="69" spans="1:15" s="224" customFormat="1" x14ac:dyDescent="0.25">
      <c r="A69" s="187" t="s">
        <v>854</v>
      </c>
      <c r="B69" s="61" t="s">
        <v>18</v>
      </c>
      <c r="C69" s="61" t="s">
        <v>239</v>
      </c>
      <c r="D69" s="199" t="s">
        <v>239</v>
      </c>
      <c r="E69" s="199" t="s">
        <v>1073</v>
      </c>
      <c r="F69" s="199" t="s">
        <v>41</v>
      </c>
      <c r="G69" s="7" t="s">
        <v>117</v>
      </c>
      <c r="H69" s="199" t="s">
        <v>4712</v>
      </c>
      <c r="I69" s="199" t="s">
        <v>2581</v>
      </c>
      <c r="J69" s="235">
        <v>11701.58</v>
      </c>
      <c r="K69" s="211">
        <v>2925.42</v>
      </c>
      <c r="L69" s="211">
        <v>0</v>
      </c>
      <c r="M69" s="235">
        <v>14627</v>
      </c>
      <c r="N69" s="61" t="s">
        <v>4625</v>
      </c>
      <c r="O69" s="61" t="s">
        <v>125</v>
      </c>
    </row>
    <row r="70" spans="1:15" s="224" customFormat="1" x14ac:dyDescent="0.25">
      <c r="A70" s="187" t="s">
        <v>854</v>
      </c>
      <c r="B70" s="61" t="s">
        <v>18</v>
      </c>
      <c r="C70" s="61" t="s">
        <v>239</v>
      </c>
      <c r="D70" s="199" t="s">
        <v>239</v>
      </c>
      <c r="E70" s="199" t="s">
        <v>1073</v>
      </c>
      <c r="F70" s="199" t="s">
        <v>41</v>
      </c>
      <c r="G70" s="7" t="s">
        <v>117</v>
      </c>
      <c r="H70" s="199" t="s">
        <v>4712</v>
      </c>
      <c r="I70" s="199" t="s">
        <v>2581</v>
      </c>
      <c r="J70" s="235">
        <v>540.02</v>
      </c>
      <c r="K70" s="211">
        <v>134.98000000000002</v>
      </c>
      <c r="L70" s="211">
        <v>0</v>
      </c>
      <c r="M70" s="235">
        <v>675</v>
      </c>
      <c r="N70" s="61" t="s">
        <v>4625</v>
      </c>
      <c r="O70" s="61" t="s">
        <v>125</v>
      </c>
    </row>
    <row r="71" spans="1:15" s="224" customFormat="1" x14ac:dyDescent="0.25">
      <c r="A71" s="187" t="s">
        <v>728</v>
      </c>
      <c r="B71" s="61" t="s">
        <v>18</v>
      </c>
      <c r="C71" s="61" t="s">
        <v>239</v>
      </c>
      <c r="D71" s="199" t="s">
        <v>239</v>
      </c>
      <c r="E71" s="199" t="s">
        <v>976</v>
      </c>
      <c r="F71" s="199" t="s">
        <v>1080</v>
      </c>
      <c r="G71" s="199" t="s">
        <v>2345</v>
      </c>
      <c r="H71" s="199" t="s">
        <v>201</v>
      </c>
      <c r="I71" s="199" t="s">
        <v>2581</v>
      </c>
      <c r="J71" s="235">
        <v>72800</v>
      </c>
      <c r="K71" s="211">
        <v>2518200</v>
      </c>
      <c r="L71" s="211">
        <v>0</v>
      </c>
      <c r="M71" s="235">
        <v>2591000</v>
      </c>
      <c r="N71" s="61" t="s">
        <v>4625</v>
      </c>
      <c r="O71" s="61" t="s">
        <v>124</v>
      </c>
    </row>
    <row r="72" spans="1:15" s="224" customFormat="1" x14ac:dyDescent="0.25">
      <c r="A72" s="7" t="s">
        <v>1835</v>
      </c>
      <c r="B72" s="7" t="s">
        <v>18</v>
      </c>
      <c r="C72" s="7" t="s">
        <v>239</v>
      </c>
      <c r="D72" s="7" t="s">
        <v>239</v>
      </c>
      <c r="E72" s="7" t="s">
        <v>3930</v>
      </c>
      <c r="F72" s="7" t="s">
        <v>3929</v>
      </c>
      <c r="G72" s="7" t="s">
        <v>2345</v>
      </c>
      <c r="H72" s="7" t="s">
        <v>3928</v>
      </c>
      <c r="I72" s="7" t="s">
        <v>2284</v>
      </c>
      <c r="J72" s="209">
        <v>3040000</v>
      </c>
      <c r="K72" s="209">
        <v>760000</v>
      </c>
      <c r="L72" s="209">
        <v>0</v>
      </c>
      <c r="M72" s="209">
        <v>3800000</v>
      </c>
      <c r="N72" s="7" t="s">
        <v>4616</v>
      </c>
      <c r="O72" s="7" t="s">
        <v>124</v>
      </c>
    </row>
    <row r="73" spans="1:15" s="224" customFormat="1" x14ac:dyDescent="0.25">
      <c r="A73" s="7" t="s">
        <v>1835</v>
      </c>
      <c r="B73" s="7" t="s">
        <v>18</v>
      </c>
      <c r="C73" s="7" t="s">
        <v>239</v>
      </c>
      <c r="D73" s="7" t="s">
        <v>239</v>
      </c>
      <c r="E73" s="7" t="s">
        <v>3930</v>
      </c>
      <c r="F73" s="7" t="s">
        <v>3929</v>
      </c>
      <c r="G73" s="7" t="s">
        <v>177</v>
      </c>
      <c r="H73" s="7" t="s">
        <v>178</v>
      </c>
      <c r="I73" s="7" t="s">
        <v>2284</v>
      </c>
      <c r="J73" s="209">
        <v>240000</v>
      </c>
      <c r="K73" s="209">
        <v>60000</v>
      </c>
      <c r="L73" s="209">
        <v>0</v>
      </c>
      <c r="M73" s="209">
        <v>300000</v>
      </c>
      <c r="N73" s="7" t="s">
        <v>4616</v>
      </c>
      <c r="O73" s="7" t="s">
        <v>124</v>
      </c>
    </row>
    <row r="74" spans="1:15" s="224" customFormat="1" x14ac:dyDescent="0.25">
      <c r="A74" s="187" t="s">
        <v>727</v>
      </c>
      <c r="B74" s="61" t="s">
        <v>18</v>
      </c>
      <c r="C74" s="61" t="s">
        <v>239</v>
      </c>
      <c r="D74" s="199" t="s">
        <v>239</v>
      </c>
      <c r="E74" s="199" t="s">
        <v>975</v>
      </c>
      <c r="F74" s="199" t="s">
        <v>1079</v>
      </c>
      <c r="G74" s="199" t="s">
        <v>2345</v>
      </c>
      <c r="H74" s="199" t="s">
        <v>201</v>
      </c>
      <c r="I74" s="199" t="s">
        <v>2581</v>
      </c>
      <c r="J74" s="235">
        <v>160062.24</v>
      </c>
      <c r="K74" s="211">
        <v>40015.56</v>
      </c>
      <c r="L74" s="211">
        <v>0</v>
      </c>
      <c r="M74" s="235">
        <v>200077.8</v>
      </c>
      <c r="N74" s="61" t="s">
        <v>79</v>
      </c>
      <c r="O74" s="61" t="s">
        <v>124</v>
      </c>
    </row>
    <row r="75" spans="1:15" s="224" customFormat="1" x14ac:dyDescent="0.25">
      <c r="A75" s="187" t="s">
        <v>842</v>
      </c>
      <c r="B75" s="186" t="s">
        <v>18</v>
      </c>
      <c r="C75" s="61" t="s">
        <v>239</v>
      </c>
      <c r="D75" s="199" t="s">
        <v>239</v>
      </c>
      <c r="E75" s="199" t="s">
        <v>1063</v>
      </c>
      <c r="F75" s="199" t="s">
        <v>41</v>
      </c>
      <c r="G75" s="7" t="s">
        <v>212</v>
      </c>
      <c r="H75" s="8" t="s">
        <v>78</v>
      </c>
      <c r="I75" s="199" t="s">
        <v>1275</v>
      </c>
      <c r="J75" s="235">
        <v>421822.32</v>
      </c>
      <c r="K75" s="211">
        <v>105455.67999999999</v>
      </c>
      <c r="L75" s="211">
        <v>0</v>
      </c>
      <c r="M75" s="235">
        <v>527278</v>
      </c>
      <c r="N75" s="61" t="s">
        <v>79</v>
      </c>
      <c r="O75" s="61" t="s">
        <v>125</v>
      </c>
    </row>
    <row r="76" spans="1:15" s="224" customFormat="1" x14ac:dyDescent="0.25">
      <c r="A76" s="7" t="s">
        <v>2584</v>
      </c>
      <c r="B76" s="7" t="s">
        <v>18</v>
      </c>
      <c r="C76" s="7" t="s">
        <v>239</v>
      </c>
      <c r="D76" s="7" t="s">
        <v>239</v>
      </c>
      <c r="E76" s="7" t="s">
        <v>2583</v>
      </c>
      <c r="F76" s="7" t="s">
        <v>2582</v>
      </c>
      <c r="G76" s="7" t="s">
        <v>2345</v>
      </c>
      <c r="H76" s="7" t="s">
        <v>1195</v>
      </c>
      <c r="I76" s="7" t="s">
        <v>2581</v>
      </c>
      <c r="J76" s="209">
        <v>10948965.32</v>
      </c>
      <c r="K76" s="209">
        <v>2737241.33</v>
      </c>
      <c r="L76" s="209">
        <v>0</v>
      </c>
      <c r="M76" s="209">
        <v>13686206.65</v>
      </c>
      <c r="N76" s="7" t="s">
        <v>4625</v>
      </c>
      <c r="O76" s="7" t="s">
        <v>125</v>
      </c>
    </row>
    <row r="77" spans="1:15" s="224" customFormat="1" x14ac:dyDescent="0.25">
      <c r="A77" s="7" t="s">
        <v>2584</v>
      </c>
      <c r="B77" s="7" t="s">
        <v>18</v>
      </c>
      <c r="C77" s="7" t="s">
        <v>239</v>
      </c>
      <c r="D77" s="7" t="s">
        <v>239</v>
      </c>
      <c r="E77" s="7" t="s">
        <v>2583</v>
      </c>
      <c r="F77" s="7" t="s">
        <v>2582</v>
      </c>
      <c r="G77" s="7" t="s">
        <v>177</v>
      </c>
      <c r="H77" s="7" t="s">
        <v>178</v>
      </c>
      <c r="I77" s="7" t="s">
        <v>2581</v>
      </c>
      <c r="J77" s="209">
        <v>1600000</v>
      </c>
      <c r="K77" s="209">
        <v>400000</v>
      </c>
      <c r="L77" s="209">
        <v>0</v>
      </c>
      <c r="M77" s="209">
        <v>2000000</v>
      </c>
      <c r="N77" s="7" t="s">
        <v>4625</v>
      </c>
      <c r="O77" s="7" t="s">
        <v>125</v>
      </c>
    </row>
    <row r="78" spans="1:15" s="224" customFormat="1" x14ac:dyDescent="0.25">
      <c r="A78" s="7" t="s">
        <v>3839</v>
      </c>
      <c r="B78" s="7" t="s">
        <v>18</v>
      </c>
      <c r="C78" s="7" t="s">
        <v>239</v>
      </c>
      <c r="D78" s="7" t="s">
        <v>239</v>
      </c>
      <c r="E78" s="7" t="s">
        <v>41</v>
      </c>
      <c r="F78" s="7" t="s">
        <v>3838</v>
      </c>
      <c r="G78" s="7" t="s">
        <v>2345</v>
      </c>
      <c r="H78" s="7" t="s">
        <v>3837</v>
      </c>
      <c r="I78" s="7" t="s">
        <v>2581</v>
      </c>
      <c r="J78" s="209">
        <v>1080000</v>
      </c>
      <c r="K78" s="209">
        <v>270000</v>
      </c>
      <c r="L78" s="209">
        <v>0</v>
      </c>
      <c r="M78" s="209">
        <v>1350000</v>
      </c>
      <c r="N78" s="7" t="s">
        <v>4625</v>
      </c>
      <c r="O78" s="7" t="s">
        <v>125</v>
      </c>
    </row>
    <row r="79" spans="1:15" s="224" customFormat="1" x14ac:dyDescent="0.25">
      <c r="A79" s="7" t="s">
        <v>3839</v>
      </c>
      <c r="B79" s="7" t="s">
        <v>18</v>
      </c>
      <c r="C79" s="7" t="s">
        <v>239</v>
      </c>
      <c r="D79" s="7" t="s">
        <v>239</v>
      </c>
      <c r="E79" s="7" t="s">
        <v>41</v>
      </c>
      <c r="F79" s="7" t="s">
        <v>3838</v>
      </c>
      <c r="G79" s="7" t="s">
        <v>2345</v>
      </c>
      <c r="H79" s="7" t="s">
        <v>3837</v>
      </c>
      <c r="I79" s="7" t="s">
        <v>2581</v>
      </c>
      <c r="J79" s="209">
        <v>1080000</v>
      </c>
      <c r="K79" s="209">
        <v>270000</v>
      </c>
      <c r="L79" s="209">
        <v>0</v>
      </c>
      <c r="M79" s="209">
        <v>1350000</v>
      </c>
      <c r="N79" s="7" t="s">
        <v>4625</v>
      </c>
      <c r="O79" s="7" t="s">
        <v>125</v>
      </c>
    </row>
    <row r="80" spans="1:15" s="224" customFormat="1" x14ac:dyDescent="0.25">
      <c r="A80" s="7" t="s">
        <v>3839</v>
      </c>
      <c r="B80" s="7" t="s">
        <v>18</v>
      </c>
      <c r="C80" s="7" t="s">
        <v>239</v>
      </c>
      <c r="D80" s="7" t="s">
        <v>239</v>
      </c>
      <c r="E80" s="7" t="s">
        <v>41</v>
      </c>
      <c r="F80" s="7" t="s">
        <v>3838</v>
      </c>
      <c r="G80" s="7" t="s">
        <v>177</v>
      </c>
      <c r="H80" s="7" t="s">
        <v>178</v>
      </c>
      <c r="I80" s="7" t="s">
        <v>2581</v>
      </c>
      <c r="J80" s="209">
        <v>120000</v>
      </c>
      <c r="K80" s="209">
        <v>30000</v>
      </c>
      <c r="L80" s="209">
        <v>0</v>
      </c>
      <c r="M80" s="209">
        <v>150000</v>
      </c>
      <c r="N80" s="7" t="s">
        <v>4625</v>
      </c>
      <c r="O80" s="7" t="s">
        <v>125</v>
      </c>
    </row>
    <row r="81" spans="1:15" s="224" customFormat="1" x14ac:dyDescent="0.25">
      <c r="A81" s="7" t="s">
        <v>3839</v>
      </c>
      <c r="B81" s="7" t="s">
        <v>18</v>
      </c>
      <c r="C81" s="7" t="s">
        <v>239</v>
      </c>
      <c r="D81" s="7" t="s">
        <v>239</v>
      </c>
      <c r="E81" s="7" t="s">
        <v>41</v>
      </c>
      <c r="F81" s="7" t="s">
        <v>3838</v>
      </c>
      <c r="G81" s="7" t="s">
        <v>177</v>
      </c>
      <c r="H81" s="7" t="s">
        <v>178</v>
      </c>
      <c r="I81" s="7" t="s">
        <v>2581</v>
      </c>
      <c r="J81" s="209">
        <v>120000</v>
      </c>
      <c r="K81" s="209">
        <v>30000</v>
      </c>
      <c r="L81" s="209">
        <v>0</v>
      </c>
      <c r="M81" s="209">
        <v>150000</v>
      </c>
      <c r="N81" s="7" t="s">
        <v>4625</v>
      </c>
      <c r="O81" s="7" t="s">
        <v>125</v>
      </c>
    </row>
    <row r="82" spans="1:15" s="224" customFormat="1" x14ac:dyDescent="0.25">
      <c r="A82" s="7" t="s">
        <v>726</v>
      </c>
      <c r="B82" s="7" t="s">
        <v>18</v>
      </c>
      <c r="C82" s="7" t="s">
        <v>239</v>
      </c>
      <c r="D82" s="7" t="s">
        <v>239</v>
      </c>
      <c r="E82" s="7" t="s">
        <v>41</v>
      </c>
      <c r="F82" s="7" t="s">
        <v>103</v>
      </c>
      <c r="G82" s="7" t="s">
        <v>2345</v>
      </c>
      <c r="H82" s="7" t="s">
        <v>4705</v>
      </c>
      <c r="I82" s="7" t="s">
        <v>2581</v>
      </c>
      <c r="J82" s="209">
        <v>3780711</v>
      </c>
      <c r="K82" s="209">
        <v>1512284.4000000001</v>
      </c>
      <c r="L82" s="209">
        <v>2268426.5999999996</v>
      </c>
      <c r="M82" s="209">
        <v>7561422</v>
      </c>
      <c r="N82" s="61" t="s">
        <v>4622</v>
      </c>
      <c r="O82" s="7" t="s">
        <v>124</v>
      </c>
    </row>
    <row r="83" spans="1:15" s="224" customFormat="1" x14ac:dyDescent="0.25">
      <c r="A83" s="7" t="s">
        <v>726</v>
      </c>
      <c r="B83" s="7" t="s">
        <v>18</v>
      </c>
      <c r="C83" s="7" t="s">
        <v>239</v>
      </c>
      <c r="D83" s="7" t="s">
        <v>239</v>
      </c>
      <c r="E83" s="7" t="s">
        <v>41</v>
      </c>
      <c r="F83" s="7" t="s">
        <v>103</v>
      </c>
      <c r="G83" s="7" t="s">
        <v>177</v>
      </c>
      <c r="H83" s="7" t="s">
        <v>178</v>
      </c>
      <c r="I83" s="7" t="s">
        <v>2581</v>
      </c>
      <c r="J83" s="209">
        <v>821250</v>
      </c>
      <c r="K83" s="209">
        <v>328500</v>
      </c>
      <c r="L83" s="209">
        <v>492750</v>
      </c>
      <c r="M83" s="209">
        <v>1642500</v>
      </c>
      <c r="N83" s="61" t="s">
        <v>4622</v>
      </c>
      <c r="O83" s="7" t="s">
        <v>124</v>
      </c>
    </row>
    <row r="84" spans="1:15" s="224" customFormat="1" x14ac:dyDescent="0.25">
      <c r="A84" s="187" t="s">
        <v>726</v>
      </c>
      <c r="B84" s="186" t="s">
        <v>18</v>
      </c>
      <c r="C84" s="61" t="s">
        <v>239</v>
      </c>
      <c r="D84" s="199" t="s">
        <v>239</v>
      </c>
      <c r="E84" s="199" t="s">
        <v>41</v>
      </c>
      <c r="F84" s="199" t="s">
        <v>1078</v>
      </c>
      <c r="G84" s="199" t="s">
        <v>2345</v>
      </c>
      <c r="H84" s="199" t="s">
        <v>74</v>
      </c>
      <c r="I84" s="199" t="s">
        <v>2581</v>
      </c>
      <c r="J84" s="235">
        <v>339166.4</v>
      </c>
      <c r="K84" s="211">
        <v>84791.599999999977</v>
      </c>
      <c r="L84" s="211">
        <v>0</v>
      </c>
      <c r="M84" s="235">
        <v>423958</v>
      </c>
      <c r="N84" s="61" t="s">
        <v>225</v>
      </c>
      <c r="O84" s="61" t="s">
        <v>125</v>
      </c>
    </row>
    <row r="85" spans="1:15" s="224" customFormat="1" x14ac:dyDescent="0.25">
      <c r="A85" s="223" t="s">
        <v>320</v>
      </c>
      <c r="B85" s="224" t="s">
        <v>90</v>
      </c>
      <c r="C85" s="224" t="s">
        <v>239</v>
      </c>
      <c r="D85" s="225" t="s">
        <v>239</v>
      </c>
      <c r="E85" s="224" t="s">
        <v>321</v>
      </c>
      <c r="F85" s="224" t="s">
        <v>322</v>
      </c>
      <c r="G85" s="224" t="s">
        <v>177</v>
      </c>
      <c r="H85" s="224" t="s">
        <v>178</v>
      </c>
      <c r="I85" s="224" t="s">
        <v>4757</v>
      </c>
      <c r="J85" s="226"/>
      <c r="K85" s="226"/>
      <c r="L85" s="226">
        <v>13103</v>
      </c>
      <c r="M85" s="226">
        <v>13103</v>
      </c>
      <c r="N85" s="224" t="s">
        <v>323</v>
      </c>
      <c r="O85" s="224" t="s">
        <v>124</v>
      </c>
    </row>
    <row r="86" spans="1:15" s="224" customFormat="1" x14ac:dyDescent="0.25">
      <c r="A86" s="7" t="s">
        <v>3684</v>
      </c>
      <c r="B86" s="7" t="s">
        <v>18</v>
      </c>
      <c r="C86" s="7" t="s">
        <v>239</v>
      </c>
      <c r="D86" s="7" t="s">
        <v>239</v>
      </c>
      <c r="E86" s="7" t="s">
        <v>2175</v>
      </c>
      <c r="F86" s="7" t="s">
        <v>3683</v>
      </c>
      <c r="G86" s="7" t="s">
        <v>177</v>
      </c>
      <c r="H86" s="7" t="s">
        <v>178</v>
      </c>
      <c r="I86" s="7" t="s">
        <v>2581</v>
      </c>
      <c r="J86" s="209">
        <v>1320000</v>
      </c>
      <c r="K86" s="209">
        <v>330000</v>
      </c>
      <c r="L86" s="209">
        <v>0</v>
      </c>
      <c r="M86" s="209">
        <v>1650000</v>
      </c>
      <c r="N86" s="7" t="s">
        <v>79</v>
      </c>
      <c r="O86" s="7" t="s">
        <v>124</v>
      </c>
    </row>
    <row r="87" spans="1:15" s="224" customFormat="1" x14ac:dyDescent="0.25">
      <c r="A87" s="7" t="s">
        <v>3684</v>
      </c>
      <c r="B87" s="7" t="s">
        <v>18</v>
      </c>
      <c r="C87" s="7" t="s">
        <v>239</v>
      </c>
      <c r="D87" s="7" t="s">
        <v>239</v>
      </c>
      <c r="E87" s="7" t="s">
        <v>2175</v>
      </c>
      <c r="F87" s="7" t="s">
        <v>3683</v>
      </c>
      <c r="G87" s="7" t="s">
        <v>2345</v>
      </c>
      <c r="H87" s="7" t="s">
        <v>4745</v>
      </c>
      <c r="I87" s="7" t="s">
        <v>2581</v>
      </c>
      <c r="J87" s="209">
        <v>11480000</v>
      </c>
      <c r="K87" s="209">
        <v>2870000</v>
      </c>
      <c r="L87" s="209">
        <v>0</v>
      </c>
      <c r="M87" s="209">
        <v>14350000</v>
      </c>
      <c r="N87" s="7" t="s">
        <v>79</v>
      </c>
      <c r="O87" s="7" t="s">
        <v>124</v>
      </c>
    </row>
    <row r="88" spans="1:15" s="224" customFormat="1" x14ac:dyDescent="0.25">
      <c r="A88" s="7" t="s">
        <v>2773</v>
      </c>
      <c r="B88" s="7" t="s">
        <v>18</v>
      </c>
      <c r="C88" s="7" t="s">
        <v>239</v>
      </c>
      <c r="D88" s="7" t="s">
        <v>239</v>
      </c>
      <c r="E88" s="7" t="s">
        <v>2772</v>
      </c>
      <c r="F88" s="7" t="s">
        <v>2771</v>
      </c>
      <c r="G88" s="7" t="s">
        <v>212</v>
      </c>
      <c r="H88" s="7" t="s">
        <v>213</v>
      </c>
      <c r="I88" s="7" t="s">
        <v>2581</v>
      </c>
      <c r="J88" s="209">
        <v>1160000</v>
      </c>
      <c r="K88" s="209">
        <v>309420.728</v>
      </c>
      <c r="L88" s="209">
        <v>77682.911999999778</v>
      </c>
      <c r="M88" s="209">
        <v>1547103.64</v>
      </c>
      <c r="N88" s="7" t="s">
        <v>79</v>
      </c>
      <c r="O88" s="7" t="s">
        <v>124</v>
      </c>
    </row>
    <row r="89" spans="1:15" s="224" customFormat="1" x14ac:dyDescent="0.25">
      <c r="A89" s="215" t="s">
        <v>324</v>
      </c>
      <c r="B89" s="61" t="s">
        <v>18</v>
      </c>
      <c r="C89" s="61" t="s">
        <v>239</v>
      </c>
      <c r="D89" s="199" t="s">
        <v>239</v>
      </c>
      <c r="E89" s="199" t="s">
        <v>1029</v>
      </c>
      <c r="F89" s="199" t="s">
        <v>1138</v>
      </c>
      <c r="G89" s="7" t="s">
        <v>2345</v>
      </c>
      <c r="H89" s="199" t="s">
        <v>4733</v>
      </c>
      <c r="I89" s="199" t="s">
        <v>1275</v>
      </c>
      <c r="J89" s="235">
        <v>2752317</v>
      </c>
      <c r="K89" s="211">
        <v>305813</v>
      </c>
      <c r="L89" s="211">
        <v>0</v>
      </c>
      <c r="M89" s="235">
        <v>3058130</v>
      </c>
      <c r="N89" s="61" t="s">
        <v>4625</v>
      </c>
      <c r="O89" s="61" t="s">
        <v>124</v>
      </c>
    </row>
    <row r="90" spans="1:15" s="224" customFormat="1" x14ac:dyDescent="0.25">
      <c r="A90" s="223" t="s">
        <v>324</v>
      </c>
      <c r="B90" s="224" t="s">
        <v>90</v>
      </c>
      <c r="C90" s="224" t="s">
        <v>239</v>
      </c>
      <c r="D90" s="225" t="s">
        <v>239</v>
      </c>
      <c r="E90" s="224" t="s">
        <v>325</v>
      </c>
      <c r="F90" s="224" t="s">
        <v>326</v>
      </c>
      <c r="G90" s="224" t="s">
        <v>177</v>
      </c>
      <c r="H90" s="224" t="s">
        <v>178</v>
      </c>
      <c r="I90" s="224" t="s">
        <v>4757</v>
      </c>
      <c r="J90" s="226"/>
      <c r="K90" s="226"/>
      <c r="L90" s="226">
        <v>2006163</v>
      </c>
      <c r="M90" s="226">
        <v>2006163</v>
      </c>
      <c r="N90" s="224" t="s">
        <v>79</v>
      </c>
      <c r="O90" s="224" t="s">
        <v>124</v>
      </c>
    </row>
    <row r="91" spans="1:15" s="224" customFormat="1" ht="15.75" x14ac:dyDescent="0.25">
      <c r="A91" s="224" t="s">
        <v>4696</v>
      </c>
      <c r="B91" s="227" t="s">
        <v>90</v>
      </c>
      <c r="C91" s="224" t="s">
        <v>239</v>
      </c>
      <c r="D91" s="227" t="s">
        <v>91</v>
      </c>
      <c r="E91" s="227" t="s">
        <v>94</v>
      </c>
      <c r="F91" s="227" t="s">
        <v>104</v>
      </c>
      <c r="G91" s="7" t="s">
        <v>212</v>
      </c>
      <c r="H91" s="227" t="s">
        <v>127</v>
      </c>
      <c r="I91" s="227" t="s">
        <v>83</v>
      </c>
      <c r="L91" s="232">
        <v>240000</v>
      </c>
      <c r="M91" s="232">
        <v>240000</v>
      </c>
      <c r="N91" s="224" t="s">
        <v>4624</v>
      </c>
      <c r="O91" s="224" t="s">
        <v>124</v>
      </c>
    </row>
    <row r="92" spans="1:15" s="224" customFormat="1" ht="15.75" x14ac:dyDescent="0.25">
      <c r="A92" s="224" t="s">
        <v>4696</v>
      </c>
      <c r="B92" s="227" t="s">
        <v>90</v>
      </c>
      <c r="C92" s="224" t="s">
        <v>239</v>
      </c>
      <c r="D92" s="227" t="s">
        <v>91</v>
      </c>
      <c r="E92" s="227" t="s">
        <v>41</v>
      </c>
      <c r="F92" s="227" t="s">
        <v>103</v>
      </c>
      <c r="G92" s="224" t="s">
        <v>2345</v>
      </c>
      <c r="H92" s="227" t="s">
        <v>74</v>
      </c>
      <c r="I92" s="227" t="s">
        <v>83</v>
      </c>
      <c r="L92" s="232">
        <v>2000000</v>
      </c>
      <c r="M92" s="232">
        <v>2000000</v>
      </c>
      <c r="N92" s="224" t="s">
        <v>225</v>
      </c>
      <c r="O92" s="224" t="s">
        <v>125</v>
      </c>
    </row>
    <row r="93" spans="1:15" s="224" customFormat="1" x14ac:dyDescent="0.25">
      <c r="A93" s="223" t="s">
        <v>4696</v>
      </c>
      <c r="B93" s="224" t="s">
        <v>18</v>
      </c>
      <c r="C93" s="224" t="s">
        <v>239</v>
      </c>
      <c r="D93" s="225" t="s">
        <v>239</v>
      </c>
      <c r="E93" s="224" t="s">
        <v>262</v>
      </c>
      <c r="F93" s="224" t="s">
        <v>263</v>
      </c>
      <c r="G93" s="224" t="s">
        <v>73</v>
      </c>
      <c r="H93" s="224" t="s">
        <v>245</v>
      </c>
      <c r="I93" s="224" t="s">
        <v>4757</v>
      </c>
      <c r="J93" s="226"/>
      <c r="K93" s="226"/>
      <c r="L93" s="226">
        <v>700000</v>
      </c>
      <c r="M93" s="226">
        <v>700000</v>
      </c>
      <c r="N93" s="224" t="s">
        <v>225</v>
      </c>
      <c r="O93" s="224" t="s">
        <v>125</v>
      </c>
    </row>
    <row r="94" spans="1:15" s="224" customFormat="1" x14ac:dyDescent="0.25">
      <c r="A94" s="223" t="s">
        <v>4696</v>
      </c>
      <c r="B94" s="224" t="s">
        <v>18</v>
      </c>
      <c r="C94" s="224" t="s">
        <v>239</v>
      </c>
      <c r="D94" s="225" t="s">
        <v>239</v>
      </c>
      <c r="E94" s="224" t="s">
        <v>254</v>
      </c>
      <c r="F94" s="224" t="s">
        <v>255</v>
      </c>
      <c r="G94" s="224" t="s">
        <v>177</v>
      </c>
      <c r="H94" s="224" t="s">
        <v>178</v>
      </c>
      <c r="I94" s="224" t="s">
        <v>4757</v>
      </c>
      <c r="J94" s="226"/>
      <c r="K94" s="226"/>
      <c r="L94" s="226">
        <v>350000</v>
      </c>
      <c r="M94" s="226">
        <v>350000</v>
      </c>
      <c r="N94" s="224" t="s">
        <v>225</v>
      </c>
      <c r="O94" s="224" t="s">
        <v>125</v>
      </c>
    </row>
    <row r="95" spans="1:15" s="224" customFormat="1" ht="15.75" x14ac:dyDescent="0.25">
      <c r="A95" s="224" t="s">
        <v>4696</v>
      </c>
      <c r="B95" s="227" t="s">
        <v>90</v>
      </c>
      <c r="C95" s="224" t="s">
        <v>239</v>
      </c>
      <c r="D95" s="227" t="s">
        <v>91</v>
      </c>
      <c r="E95" s="227" t="s">
        <v>92</v>
      </c>
      <c r="F95" s="227" t="s">
        <v>100</v>
      </c>
      <c r="G95" s="224" t="s">
        <v>2345</v>
      </c>
      <c r="H95" s="227" t="s">
        <v>74</v>
      </c>
      <c r="I95" s="227" t="s">
        <v>83</v>
      </c>
      <c r="L95" s="232">
        <v>300000</v>
      </c>
      <c r="M95" s="232">
        <v>300000</v>
      </c>
      <c r="N95" s="224" t="s">
        <v>225</v>
      </c>
      <c r="O95" s="224" t="s">
        <v>125</v>
      </c>
    </row>
    <row r="96" spans="1:15" s="224" customFormat="1" x14ac:dyDescent="0.25">
      <c r="A96" s="223" t="s">
        <v>4696</v>
      </c>
      <c r="B96" s="224" t="s">
        <v>90</v>
      </c>
      <c r="C96" s="224" t="s">
        <v>239</v>
      </c>
      <c r="D96" s="225" t="s">
        <v>239</v>
      </c>
      <c r="E96" s="224" t="s">
        <v>256</v>
      </c>
      <c r="F96" s="224" t="s">
        <v>257</v>
      </c>
      <c r="G96" s="224" t="s">
        <v>2345</v>
      </c>
      <c r="H96" s="224" t="s">
        <v>227</v>
      </c>
      <c r="I96" s="224" t="s">
        <v>4757</v>
      </c>
      <c r="J96" s="226"/>
      <c r="K96" s="226"/>
      <c r="L96" s="226">
        <v>280729.7</v>
      </c>
      <c r="M96" s="226">
        <v>280729.7</v>
      </c>
      <c r="N96" s="224" t="s">
        <v>225</v>
      </c>
      <c r="O96" s="224" t="s">
        <v>125</v>
      </c>
    </row>
    <row r="97" spans="1:15" s="224" customFormat="1" x14ac:dyDescent="0.25">
      <c r="A97" s="223" t="s">
        <v>4696</v>
      </c>
      <c r="B97" s="224" t="s">
        <v>90</v>
      </c>
      <c r="C97" s="224" t="s">
        <v>239</v>
      </c>
      <c r="D97" s="225" t="s">
        <v>239</v>
      </c>
      <c r="E97" s="224" t="s">
        <v>271</v>
      </c>
      <c r="F97" s="224" t="s">
        <v>272</v>
      </c>
      <c r="G97" s="224" t="s">
        <v>2345</v>
      </c>
      <c r="H97" s="224" t="s">
        <v>227</v>
      </c>
      <c r="I97" s="224" t="s">
        <v>220</v>
      </c>
      <c r="J97" s="226"/>
      <c r="K97" s="226"/>
      <c r="L97" s="226">
        <v>105000</v>
      </c>
      <c r="M97" s="226">
        <v>105000</v>
      </c>
      <c r="N97" s="224" t="s">
        <v>225</v>
      </c>
      <c r="O97" s="224" t="s">
        <v>125</v>
      </c>
    </row>
    <row r="98" spans="1:15" s="224" customFormat="1" x14ac:dyDescent="0.25">
      <c r="A98" s="223" t="s">
        <v>4696</v>
      </c>
      <c r="B98" s="224" t="s">
        <v>90</v>
      </c>
      <c r="C98" s="224" t="s">
        <v>239</v>
      </c>
      <c r="D98" s="225" t="s">
        <v>239</v>
      </c>
      <c r="E98" s="224" t="s">
        <v>240</v>
      </c>
      <c r="F98" s="225" t="s">
        <v>241</v>
      </c>
      <c r="G98" s="224" t="s">
        <v>2345</v>
      </c>
      <c r="H98" s="224" t="s">
        <v>219</v>
      </c>
      <c r="I98" s="224" t="s">
        <v>220</v>
      </c>
      <c r="J98" s="226"/>
      <c r="K98" s="226"/>
      <c r="L98" s="226">
        <v>63199.33</v>
      </c>
      <c r="M98" s="226">
        <v>63199.33</v>
      </c>
      <c r="N98" s="224" t="s">
        <v>225</v>
      </c>
      <c r="O98" s="224" t="s">
        <v>125</v>
      </c>
    </row>
    <row r="99" spans="1:15" s="224" customFormat="1" x14ac:dyDescent="0.25">
      <c r="A99" s="223" t="s">
        <v>327</v>
      </c>
      <c r="B99" s="224" t="s">
        <v>90</v>
      </c>
      <c r="C99" s="224" t="s">
        <v>4691</v>
      </c>
      <c r="D99" s="225" t="s">
        <v>328</v>
      </c>
      <c r="E99" s="224" t="s">
        <v>329</v>
      </c>
      <c r="F99" s="224" t="s">
        <v>330</v>
      </c>
      <c r="G99" s="224" t="s">
        <v>73</v>
      </c>
      <c r="H99" s="224" t="s">
        <v>245</v>
      </c>
      <c r="I99" s="224" t="s">
        <v>224</v>
      </c>
      <c r="J99" s="226"/>
      <c r="K99" s="226"/>
      <c r="L99" s="226">
        <v>102983</v>
      </c>
      <c r="M99" s="226">
        <v>102983</v>
      </c>
      <c r="N99" s="224" t="s">
        <v>4625</v>
      </c>
      <c r="O99" s="224" t="s">
        <v>124</v>
      </c>
    </row>
    <row r="100" spans="1:15" s="224" customFormat="1" x14ac:dyDescent="0.25">
      <c r="A100" s="187" t="s">
        <v>740</v>
      </c>
      <c r="B100" s="61" t="s">
        <v>18</v>
      </c>
      <c r="C100" s="7" t="s">
        <v>4691</v>
      </c>
      <c r="D100" s="199" t="s">
        <v>923</v>
      </c>
      <c r="E100" s="199" t="s">
        <v>985</v>
      </c>
      <c r="F100" s="199" t="s">
        <v>1092</v>
      </c>
      <c r="G100" s="7" t="s">
        <v>2345</v>
      </c>
      <c r="H100" s="199" t="s">
        <v>1205</v>
      </c>
      <c r="I100" s="199" t="s">
        <v>2581</v>
      </c>
      <c r="J100" s="235">
        <v>32702.01</v>
      </c>
      <c r="K100" s="211">
        <v>14014.990000000002</v>
      </c>
      <c r="L100" s="211">
        <v>0</v>
      </c>
      <c r="M100" s="235">
        <v>46717</v>
      </c>
      <c r="N100" s="61" t="s">
        <v>4624</v>
      </c>
      <c r="O100" s="61" t="s">
        <v>125</v>
      </c>
    </row>
    <row r="101" spans="1:15" s="224" customFormat="1" x14ac:dyDescent="0.25">
      <c r="A101" s="7" t="s">
        <v>1863</v>
      </c>
      <c r="B101" s="7" t="s">
        <v>18</v>
      </c>
      <c r="C101" s="7" t="s">
        <v>4691</v>
      </c>
      <c r="D101" s="7" t="s">
        <v>958</v>
      </c>
      <c r="E101" s="7" t="s">
        <v>3462</v>
      </c>
      <c r="F101" s="7" t="s">
        <v>3461</v>
      </c>
      <c r="G101" s="7" t="s">
        <v>2345</v>
      </c>
      <c r="H101" s="7" t="s">
        <v>75</v>
      </c>
      <c r="I101" s="7" t="s">
        <v>2284</v>
      </c>
      <c r="J101" s="209">
        <v>1920000</v>
      </c>
      <c r="K101" s="209">
        <v>586195.6</v>
      </c>
      <c r="L101" s="209">
        <v>424782.39999999991</v>
      </c>
      <c r="M101" s="209">
        <v>2930978</v>
      </c>
      <c r="N101" s="7" t="s">
        <v>4624</v>
      </c>
      <c r="O101" s="7" t="s">
        <v>124</v>
      </c>
    </row>
    <row r="102" spans="1:15" s="224" customFormat="1" x14ac:dyDescent="0.25">
      <c r="A102" s="7" t="s">
        <v>1863</v>
      </c>
      <c r="B102" s="7" t="s">
        <v>18</v>
      </c>
      <c r="C102" s="7" t="s">
        <v>4691</v>
      </c>
      <c r="D102" s="7" t="s">
        <v>958</v>
      </c>
      <c r="E102" s="7" t="s">
        <v>3462</v>
      </c>
      <c r="F102" s="7" t="s">
        <v>3461</v>
      </c>
      <c r="G102" s="7" t="s">
        <v>2345</v>
      </c>
      <c r="H102" s="7" t="s">
        <v>4752</v>
      </c>
      <c r="I102" s="7" t="s">
        <v>83</v>
      </c>
      <c r="J102" s="209">
        <v>0</v>
      </c>
      <c r="K102" s="209">
        <v>0</v>
      </c>
      <c r="L102" s="209">
        <v>3717595</v>
      </c>
      <c r="M102" s="209">
        <v>3717595</v>
      </c>
      <c r="N102" s="7" t="s">
        <v>4624</v>
      </c>
      <c r="O102" s="7" t="s">
        <v>124</v>
      </c>
    </row>
    <row r="103" spans="1:15" s="224" customFormat="1" x14ac:dyDescent="0.25">
      <c r="A103" s="7" t="s">
        <v>1863</v>
      </c>
      <c r="B103" s="7" t="s">
        <v>18</v>
      </c>
      <c r="C103" s="7" t="s">
        <v>4691</v>
      </c>
      <c r="D103" s="7" t="s">
        <v>958</v>
      </c>
      <c r="E103" s="7" t="s">
        <v>3462</v>
      </c>
      <c r="F103" s="7" t="s">
        <v>3461</v>
      </c>
      <c r="G103" s="7" t="s">
        <v>2345</v>
      </c>
      <c r="H103" s="7" t="s">
        <v>75</v>
      </c>
      <c r="I103" s="7" t="s">
        <v>2581</v>
      </c>
      <c r="J103" s="209">
        <v>1913943</v>
      </c>
      <c r="K103" s="209">
        <v>1357560.9</v>
      </c>
      <c r="L103" s="209">
        <v>1253699.1000000001</v>
      </c>
      <c r="M103" s="209">
        <v>4525203</v>
      </c>
      <c r="N103" s="7" t="s">
        <v>4624</v>
      </c>
      <c r="O103" s="7" t="s">
        <v>124</v>
      </c>
    </row>
    <row r="104" spans="1:15" s="224" customFormat="1" x14ac:dyDescent="0.25">
      <c r="A104" s="223" t="s">
        <v>331</v>
      </c>
      <c r="B104" s="224" t="s">
        <v>90</v>
      </c>
      <c r="C104" s="224" t="s">
        <v>4691</v>
      </c>
      <c r="D104" s="225" t="s">
        <v>332</v>
      </c>
      <c r="E104" s="224" t="s">
        <v>333</v>
      </c>
      <c r="F104" s="224" t="s">
        <v>334</v>
      </c>
      <c r="G104" s="224" t="s">
        <v>177</v>
      </c>
      <c r="H104" s="224" t="s">
        <v>178</v>
      </c>
      <c r="I104" s="224" t="s">
        <v>224</v>
      </c>
      <c r="J104" s="226"/>
      <c r="K104" s="226"/>
      <c r="L104" s="226">
        <v>335616</v>
      </c>
      <c r="M104" s="226">
        <v>335616</v>
      </c>
      <c r="N104" s="224" t="s">
        <v>82</v>
      </c>
      <c r="O104" s="224" t="s">
        <v>214</v>
      </c>
    </row>
    <row r="105" spans="1:15" s="224" customFormat="1" x14ac:dyDescent="0.25">
      <c r="A105" s="187" t="s">
        <v>732</v>
      </c>
      <c r="B105" s="61" t="s">
        <v>90</v>
      </c>
      <c r="C105" s="7" t="s">
        <v>4691</v>
      </c>
      <c r="D105" s="199" t="s">
        <v>343</v>
      </c>
      <c r="E105" s="199" t="s">
        <v>979</v>
      </c>
      <c r="F105" s="199" t="s">
        <v>1085</v>
      </c>
      <c r="G105" s="7" t="s">
        <v>2345</v>
      </c>
      <c r="H105" s="199" t="s">
        <v>4732</v>
      </c>
      <c r="I105" s="199" t="s">
        <v>1275</v>
      </c>
      <c r="J105" s="235">
        <v>17162.98</v>
      </c>
      <c r="K105" s="211">
        <v>4290.75</v>
      </c>
      <c r="L105" s="211">
        <v>0</v>
      </c>
      <c r="M105" s="235">
        <v>21453.73</v>
      </c>
      <c r="N105" s="61" t="s">
        <v>4624</v>
      </c>
      <c r="O105" s="61" t="s">
        <v>124</v>
      </c>
    </row>
    <row r="106" spans="1:15" s="224" customFormat="1" x14ac:dyDescent="0.25">
      <c r="A106" s="7" t="s">
        <v>859</v>
      </c>
      <c r="B106" s="7" t="s">
        <v>18</v>
      </c>
      <c r="C106" s="7" t="s">
        <v>4691</v>
      </c>
      <c r="D106" s="7" t="s">
        <v>972</v>
      </c>
      <c r="E106" s="7" t="s">
        <v>3955</v>
      </c>
      <c r="F106" s="7" t="s">
        <v>1188</v>
      </c>
      <c r="G106" s="7" t="s">
        <v>177</v>
      </c>
      <c r="H106" s="7" t="s">
        <v>178</v>
      </c>
      <c r="I106" s="7" t="s">
        <v>2284</v>
      </c>
      <c r="J106" s="209">
        <v>72000</v>
      </c>
      <c r="K106" s="209">
        <v>18000</v>
      </c>
      <c r="L106" s="209">
        <v>0</v>
      </c>
      <c r="M106" s="209">
        <v>90000</v>
      </c>
      <c r="N106" s="7" t="s">
        <v>4616</v>
      </c>
      <c r="O106" s="7" t="s">
        <v>124</v>
      </c>
    </row>
    <row r="107" spans="1:15" s="224" customFormat="1" ht="15.75" x14ac:dyDescent="0.25">
      <c r="A107" s="187" t="s">
        <v>859</v>
      </c>
      <c r="B107" s="61" t="s">
        <v>18</v>
      </c>
      <c r="C107" s="7" t="s">
        <v>4691</v>
      </c>
      <c r="D107" s="199" t="s">
        <v>972</v>
      </c>
      <c r="E107" s="199" t="s">
        <v>1076</v>
      </c>
      <c r="F107" s="199" t="s">
        <v>1188</v>
      </c>
      <c r="G107" s="8" t="s">
        <v>73</v>
      </c>
      <c r="H107" s="10" t="s">
        <v>4728</v>
      </c>
      <c r="I107" s="199" t="s">
        <v>2284</v>
      </c>
      <c r="J107" s="235">
        <v>2080000</v>
      </c>
      <c r="K107" s="211">
        <v>520000</v>
      </c>
      <c r="L107" s="211">
        <v>0</v>
      </c>
      <c r="M107" s="235">
        <v>2600000</v>
      </c>
      <c r="N107" s="61" t="s">
        <v>4616</v>
      </c>
      <c r="O107" s="61" t="s">
        <v>126</v>
      </c>
    </row>
    <row r="108" spans="1:15" s="224" customFormat="1" x14ac:dyDescent="0.25">
      <c r="A108" s="7" t="s">
        <v>1881</v>
      </c>
      <c r="B108" s="7" t="s">
        <v>18</v>
      </c>
      <c r="C108" s="7" t="s">
        <v>4691</v>
      </c>
      <c r="D108" s="7" t="s">
        <v>972</v>
      </c>
      <c r="E108" s="7" t="s">
        <v>3935</v>
      </c>
      <c r="F108" s="7" t="s">
        <v>3934</v>
      </c>
      <c r="G108" s="7" t="s">
        <v>2345</v>
      </c>
      <c r="H108" s="7" t="s">
        <v>1901</v>
      </c>
      <c r="I108" s="7" t="s">
        <v>2284</v>
      </c>
      <c r="J108" s="209">
        <v>732000</v>
      </c>
      <c r="K108" s="209">
        <v>207981.6</v>
      </c>
      <c r="L108" s="209">
        <v>99926.400000000023</v>
      </c>
      <c r="M108" s="209">
        <v>1039908</v>
      </c>
      <c r="N108" s="7" t="s">
        <v>4616</v>
      </c>
      <c r="O108" s="7" t="s">
        <v>124</v>
      </c>
    </row>
    <row r="109" spans="1:15" s="224" customFormat="1" x14ac:dyDescent="0.25">
      <c r="A109" s="7" t="s">
        <v>1881</v>
      </c>
      <c r="B109" s="7" t="s">
        <v>18</v>
      </c>
      <c r="C109" s="7" t="s">
        <v>4691</v>
      </c>
      <c r="D109" s="7" t="s">
        <v>972</v>
      </c>
      <c r="E109" s="7" t="s">
        <v>3935</v>
      </c>
      <c r="F109" s="7" t="s">
        <v>3934</v>
      </c>
      <c r="G109" s="7" t="s">
        <v>177</v>
      </c>
      <c r="H109" s="7" t="s">
        <v>178</v>
      </c>
      <c r="I109" s="7" t="s">
        <v>2284</v>
      </c>
      <c r="J109" s="209">
        <v>76000</v>
      </c>
      <c r="K109" s="209">
        <v>19000</v>
      </c>
      <c r="L109" s="209">
        <v>0</v>
      </c>
      <c r="M109" s="209">
        <v>95000</v>
      </c>
      <c r="N109" s="7" t="s">
        <v>4616</v>
      </c>
      <c r="O109" s="7" t="s">
        <v>124</v>
      </c>
    </row>
    <row r="110" spans="1:15" s="224" customFormat="1" x14ac:dyDescent="0.25">
      <c r="A110" s="7" t="s">
        <v>1881</v>
      </c>
      <c r="B110" s="7" t="s">
        <v>18</v>
      </c>
      <c r="C110" s="7" t="s">
        <v>4691</v>
      </c>
      <c r="D110" s="7" t="s">
        <v>972</v>
      </c>
      <c r="E110" s="7" t="s">
        <v>3955</v>
      </c>
      <c r="F110" s="7" t="s">
        <v>1188</v>
      </c>
      <c r="G110" s="7" t="s">
        <v>2345</v>
      </c>
      <c r="H110" s="7" t="s">
        <v>1901</v>
      </c>
      <c r="I110" s="7" t="s">
        <v>2284</v>
      </c>
      <c r="J110" s="209">
        <v>692000</v>
      </c>
      <c r="K110" s="209">
        <v>173000</v>
      </c>
      <c r="L110" s="209">
        <v>0</v>
      </c>
      <c r="M110" s="209">
        <v>865000</v>
      </c>
      <c r="N110" s="7" t="s">
        <v>4616</v>
      </c>
      <c r="O110" s="7" t="s">
        <v>124</v>
      </c>
    </row>
    <row r="111" spans="1:15" s="224" customFormat="1" x14ac:dyDescent="0.25">
      <c r="A111" s="187" t="s">
        <v>779</v>
      </c>
      <c r="B111" s="61" t="s">
        <v>90</v>
      </c>
      <c r="C111" s="7" t="s">
        <v>4691</v>
      </c>
      <c r="D111" s="199" t="s">
        <v>941</v>
      </c>
      <c r="E111" s="199" t="s">
        <v>1016</v>
      </c>
      <c r="F111" s="199" t="s">
        <v>1125</v>
      </c>
      <c r="G111" s="7" t="s">
        <v>2345</v>
      </c>
      <c r="H111" s="7" t="s">
        <v>651</v>
      </c>
      <c r="I111" s="199" t="s">
        <v>4629</v>
      </c>
      <c r="J111" s="235">
        <v>3229.73</v>
      </c>
      <c r="K111" s="211">
        <v>807.27</v>
      </c>
      <c r="L111" s="211">
        <v>0</v>
      </c>
      <c r="M111" s="235">
        <v>4037</v>
      </c>
      <c r="N111" s="61" t="s">
        <v>4625</v>
      </c>
      <c r="O111" s="61" t="s">
        <v>125</v>
      </c>
    </row>
    <row r="112" spans="1:15" s="224" customFormat="1" x14ac:dyDescent="0.25">
      <c r="A112" s="7" t="s">
        <v>1888</v>
      </c>
      <c r="B112" s="7" t="s">
        <v>90</v>
      </c>
      <c r="C112" s="7" t="s">
        <v>4691</v>
      </c>
      <c r="D112" s="7" t="s">
        <v>328</v>
      </c>
      <c r="E112" s="7" t="s">
        <v>329</v>
      </c>
      <c r="F112" s="7" t="s">
        <v>3959</v>
      </c>
      <c r="G112" s="7" t="s">
        <v>2345</v>
      </c>
      <c r="H112" s="7" t="s">
        <v>75</v>
      </c>
      <c r="I112" s="7" t="s">
        <v>2284</v>
      </c>
      <c r="J112" s="209">
        <v>1515251</v>
      </c>
      <c r="K112" s="209">
        <v>379810.60000000003</v>
      </c>
      <c r="L112" s="209">
        <v>3991.3999999999069</v>
      </c>
      <c r="M112" s="209">
        <v>1899053</v>
      </c>
      <c r="N112" s="7" t="s">
        <v>4624</v>
      </c>
      <c r="O112" s="7" t="s">
        <v>124</v>
      </c>
    </row>
    <row r="113" spans="1:15" s="224" customFormat="1" x14ac:dyDescent="0.25">
      <c r="A113" s="7" t="s">
        <v>1888</v>
      </c>
      <c r="B113" s="7" t="s">
        <v>90</v>
      </c>
      <c r="C113" s="7" t="s">
        <v>4691</v>
      </c>
      <c r="D113" s="7" t="s">
        <v>328</v>
      </c>
      <c r="E113" s="7" t="s">
        <v>329</v>
      </c>
      <c r="F113" s="7" t="s">
        <v>3959</v>
      </c>
      <c r="G113" s="7" t="s">
        <v>177</v>
      </c>
      <c r="H113" s="7" t="s">
        <v>178</v>
      </c>
      <c r="I113" s="7" t="s">
        <v>2284</v>
      </c>
      <c r="J113" s="209">
        <v>227288</v>
      </c>
      <c r="K113" s="209">
        <v>56884.600000000006</v>
      </c>
      <c r="L113" s="209">
        <v>0</v>
      </c>
      <c r="M113" s="209">
        <v>284423</v>
      </c>
      <c r="N113" s="7" t="s">
        <v>4624</v>
      </c>
      <c r="O113" s="7" t="s">
        <v>124</v>
      </c>
    </row>
    <row r="114" spans="1:15" s="224" customFormat="1" x14ac:dyDescent="0.25">
      <c r="A114" s="7" t="s">
        <v>1891</v>
      </c>
      <c r="B114" s="7" t="s">
        <v>18</v>
      </c>
      <c r="C114" s="7" t="s">
        <v>4691</v>
      </c>
      <c r="D114" s="7" t="s">
        <v>972</v>
      </c>
      <c r="E114" s="7" t="s">
        <v>3907</v>
      </c>
      <c r="F114" s="7" t="s">
        <v>4143</v>
      </c>
      <c r="G114" s="7" t="s">
        <v>212</v>
      </c>
      <c r="H114" s="7" t="s">
        <v>213</v>
      </c>
      <c r="I114" s="7" t="s">
        <v>2284</v>
      </c>
      <c r="J114" s="209">
        <v>222758</v>
      </c>
      <c r="K114" s="209">
        <v>55689.600000000006</v>
      </c>
      <c r="L114" s="209">
        <v>0</v>
      </c>
      <c r="M114" s="209">
        <v>278448</v>
      </c>
      <c r="N114" s="7" t="s">
        <v>4616</v>
      </c>
      <c r="O114" s="7" t="s">
        <v>126</v>
      </c>
    </row>
    <row r="115" spans="1:15" s="224" customFormat="1" x14ac:dyDescent="0.25">
      <c r="A115" s="7" t="s">
        <v>1899</v>
      </c>
      <c r="B115" s="7" t="s">
        <v>18</v>
      </c>
      <c r="C115" s="7" t="s">
        <v>4691</v>
      </c>
      <c r="D115" s="7" t="s">
        <v>336</v>
      </c>
      <c r="E115" s="7" t="s">
        <v>1902</v>
      </c>
      <c r="F115" s="7" t="s">
        <v>3477</v>
      </c>
      <c r="G115" s="7" t="s">
        <v>2345</v>
      </c>
      <c r="H115" s="7" t="s">
        <v>1901</v>
      </c>
      <c r="I115" s="7" t="s">
        <v>2284</v>
      </c>
      <c r="J115" s="209">
        <v>388207</v>
      </c>
      <c r="K115" s="209">
        <v>97051.8</v>
      </c>
      <c r="L115" s="209">
        <v>0</v>
      </c>
      <c r="M115" s="209">
        <v>485259</v>
      </c>
      <c r="N115" s="7" t="s">
        <v>4616</v>
      </c>
      <c r="O115" s="7" t="s">
        <v>124</v>
      </c>
    </row>
    <row r="116" spans="1:15" s="224" customFormat="1" x14ac:dyDescent="0.25">
      <c r="A116" s="187" t="s">
        <v>821</v>
      </c>
      <c r="B116" s="61" t="s">
        <v>18</v>
      </c>
      <c r="C116" s="7" t="s">
        <v>4691</v>
      </c>
      <c r="D116" s="199" t="s">
        <v>958</v>
      </c>
      <c r="E116" s="199" t="s">
        <v>1049</v>
      </c>
      <c r="F116" s="199" t="s">
        <v>1160</v>
      </c>
      <c r="G116" s="7" t="s">
        <v>2345</v>
      </c>
      <c r="H116" s="7" t="s">
        <v>1199</v>
      </c>
      <c r="I116" s="199" t="s">
        <v>2284</v>
      </c>
      <c r="J116" s="235">
        <v>238200</v>
      </c>
      <c r="K116" s="211">
        <v>59550</v>
      </c>
      <c r="L116" s="211">
        <v>0</v>
      </c>
      <c r="M116" s="235">
        <v>297750</v>
      </c>
      <c r="N116" s="61" t="s">
        <v>4620</v>
      </c>
      <c r="O116" s="61" t="s">
        <v>124</v>
      </c>
    </row>
    <row r="117" spans="1:15" s="224" customFormat="1" x14ac:dyDescent="0.25">
      <c r="A117" s="223" t="s">
        <v>335</v>
      </c>
      <c r="B117" s="224" t="s">
        <v>90</v>
      </c>
      <c r="C117" s="224" t="s">
        <v>4691</v>
      </c>
      <c r="D117" s="225" t="s">
        <v>336</v>
      </c>
      <c r="E117" s="224" t="s">
        <v>337</v>
      </c>
      <c r="F117" s="224" t="s">
        <v>338</v>
      </c>
      <c r="G117" s="224" t="s">
        <v>73</v>
      </c>
      <c r="H117" s="224" t="s">
        <v>245</v>
      </c>
      <c r="I117" s="224" t="s">
        <v>224</v>
      </c>
      <c r="J117" s="226"/>
      <c r="K117" s="226"/>
      <c r="L117" s="226">
        <v>3810</v>
      </c>
      <c r="M117" s="226">
        <v>3810</v>
      </c>
      <c r="N117" s="224" t="s">
        <v>323</v>
      </c>
      <c r="O117" s="224" t="s">
        <v>124</v>
      </c>
    </row>
    <row r="118" spans="1:15" s="224" customFormat="1" x14ac:dyDescent="0.25">
      <c r="A118" s="7" t="s">
        <v>4430</v>
      </c>
      <c r="B118" s="7" t="s">
        <v>18</v>
      </c>
      <c r="C118" s="7" t="s">
        <v>4691</v>
      </c>
      <c r="D118" s="7" t="s">
        <v>923</v>
      </c>
      <c r="E118" s="7" t="s">
        <v>4429</v>
      </c>
      <c r="F118" s="7" t="s">
        <v>4428</v>
      </c>
      <c r="G118" s="7" t="s">
        <v>212</v>
      </c>
      <c r="H118" s="7" t="s">
        <v>213</v>
      </c>
      <c r="I118" s="7" t="s">
        <v>2581</v>
      </c>
      <c r="J118" s="209">
        <v>106195</v>
      </c>
      <c r="K118" s="209">
        <v>30341.4</v>
      </c>
      <c r="L118" s="209">
        <v>15170.600000000006</v>
      </c>
      <c r="M118" s="209">
        <v>151707</v>
      </c>
      <c r="N118" s="7" t="s">
        <v>79</v>
      </c>
      <c r="O118" s="7" t="s">
        <v>124</v>
      </c>
    </row>
    <row r="119" spans="1:15" s="224" customFormat="1" x14ac:dyDescent="0.25">
      <c r="A119" s="7" t="s">
        <v>3442</v>
      </c>
      <c r="B119" s="7" t="s">
        <v>18</v>
      </c>
      <c r="C119" s="7" t="s">
        <v>4691</v>
      </c>
      <c r="D119" s="7" t="s">
        <v>923</v>
      </c>
      <c r="E119" s="7" t="s">
        <v>3441</v>
      </c>
      <c r="F119" s="7" t="s">
        <v>3440</v>
      </c>
      <c r="G119" s="7" t="s">
        <v>2345</v>
      </c>
      <c r="H119" s="7" t="s">
        <v>3118</v>
      </c>
      <c r="I119" s="7" t="s">
        <v>1278</v>
      </c>
      <c r="J119" s="209">
        <v>215778</v>
      </c>
      <c r="K119" s="209">
        <v>0</v>
      </c>
      <c r="L119" s="209">
        <v>2000</v>
      </c>
      <c r="M119" s="209">
        <v>217778</v>
      </c>
      <c r="N119" s="7" t="s">
        <v>4616</v>
      </c>
      <c r="O119" s="7" t="s">
        <v>124</v>
      </c>
    </row>
    <row r="120" spans="1:15" s="224" customFormat="1" x14ac:dyDescent="0.25">
      <c r="A120" s="7" t="s">
        <v>3442</v>
      </c>
      <c r="B120" s="7" t="s">
        <v>18</v>
      </c>
      <c r="C120" s="7" t="s">
        <v>4691</v>
      </c>
      <c r="D120" s="7" t="s">
        <v>923</v>
      </c>
      <c r="E120" s="7" t="s">
        <v>3441</v>
      </c>
      <c r="F120" s="7" t="s">
        <v>3440</v>
      </c>
      <c r="G120" s="7" t="s">
        <v>177</v>
      </c>
      <c r="H120" s="7" t="s">
        <v>178</v>
      </c>
      <c r="I120" s="7" t="s">
        <v>1278</v>
      </c>
      <c r="J120" s="209">
        <v>22715</v>
      </c>
      <c r="K120" s="209">
        <v>0</v>
      </c>
      <c r="L120" s="209">
        <v>0</v>
      </c>
      <c r="M120" s="209">
        <v>22715</v>
      </c>
      <c r="N120" s="7" t="s">
        <v>4616</v>
      </c>
      <c r="O120" s="7" t="s">
        <v>124</v>
      </c>
    </row>
    <row r="121" spans="1:15" s="224" customFormat="1" ht="15" customHeight="1" x14ac:dyDescent="0.25">
      <c r="A121" s="7" t="s">
        <v>4163</v>
      </c>
      <c r="B121" s="7" t="s">
        <v>18</v>
      </c>
      <c r="C121" s="7" t="s">
        <v>4691</v>
      </c>
      <c r="D121" s="7" t="s">
        <v>941</v>
      </c>
      <c r="E121" s="7" t="s">
        <v>4162</v>
      </c>
      <c r="F121" s="7" t="s">
        <v>4161</v>
      </c>
      <c r="G121" s="7" t="s">
        <v>212</v>
      </c>
      <c r="H121" s="7" t="s">
        <v>213</v>
      </c>
      <c r="I121" s="7" t="s">
        <v>2581</v>
      </c>
      <c r="J121" s="209">
        <v>118278</v>
      </c>
      <c r="K121" s="209">
        <v>33793.599999999999</v>
      </c>
      <c r="L121" s="209">
        <v>16896.399999999994</v>
      </c>
      <c r="M121" s="209">
        <v>168968</v>
      </c>
      <c r="N121" s="7" t="s">
        <v>225</v>
      </c>
      <c r="O121" s="7" t="s">
        <v>125</v>
      </c>
    </row>
    <row r="122" spans="1:15" s="224" customFormat="1" ht="15" customHeight="1" x14ac:dyDescent="0.25">
      <c r="A122" s="7" t="s">
        <v>4242</v>
      </c>
      <c r="B122" s="7" t="s">
        <v>18</v>
      </c>
      <c r="C122" s="7" t="s">
        <v>4691</v>
      </c>
      <c r="D122" s="7" t="s">
        <v>4241</v>
      </c>
      <c r="E122" s="7" t="s">
        <v>4240</v>
      </c>
      <c r="F122" s="7" t="s">
        <v>3461</v>
      </c>
      <c r="G122" s="7" t="s">
        <v>2345</v>
      </c>
      <c r="H122" s="7" t="s">
        <v>74</v>
      </c>
      <c r="I122" s="7" t="s">
        <v>2581</v>
      </c>
      <c r="J122" s="209">
        <v>488163</v>
      </c>
      <c r="K122" s="209">
        <v>139475.20000000001</v>
      </c>
      <c r="L122" s="209">
        <v>69737.800000000047</v>
      </c>
      <c r="M122" s="209">
        <v>697376</v>
      </c>
      <c r="N122" s="7" t="s">
        <v>225</v>
      </c>
      <c r="O122" s="7" t="s">
        <v>125</v>
      </c>
    </row>
    <row r="123" spans="1:15" s="224" customFormat="1" ht="15" customHeight="1" x14ac:dyDescent="0.25">
      <c r="A123" s="7" t="s">
        <v>4242</v>
      </c>
      <c r="B123" s="7" t="s">
        <v>18</v>
      </c>
      <c r="C123" s="7" t="s">
        <v>4691</v>
      </c>
      <c r="D123" s="7" t="s">
        <v>4241</v>
      </c>
      <c r="E123" s="7" t="s">
        <v>4240</v>
      </c>
      <c r="F123" s="7" t="s">
        <v>3461</v>
      </c>
      <c r="G123" s="7" t="s">
        <v>177</v>
      </c>
      <c r="H123" s="7" t="s">
        <v>178</v>
      </c>
      <c r="I123" s="7" t="s">
        <v>2581</v>
      </c>
      <c r="J123" s="209">
        <v>59500</v>
      </c>
      <c r="K123" s="209">
        <v>17000</v>
      </c>
      <c r="L123" s="209">
        <v>8500</v>
      </c>
      <c r="M123" s="209">
        <v>85000</v>
      </c>
      <c r="N123" s="7" t="s">
        <v>225</v>
      </c>
      <c r="O123" s="7" t="s">
        <v>125</v>
      </c>
    </row>
    <row r="124" spans="1:15" s="224" customFormat="1" ht="15" customHeight="1" x14ac:dyDescent="0.25">
      <c r="A124" s="7" t="s">
        <v>4194</v>
      </c>
      <c r="B124" s="7" t="s">
        <v>18</v>
      </c>
      <c r="C124" s="7" t="s">
        <v>4691</v>
      </c>
      <c r="D124" s="7" t="s">
        <v>923</v>
      </c>
      <c r="E124" s="7" t="s">
        <v>4193</v>
      </c>
      <c r="F124" s="7" t="s">
        <v>1094</v>
      </c>
      <c r="G124" s="7" t="s">
        <v>2345</v>
      </c>
      <c r="H124" s="7" t="s">
        <v>651</v>
      </c>
      <c r="I124" s="7" t="s">
        <v>1277</v>
      </c>
      <c r="J124" s="209">
        <v>1176000</v>
      </c>
      <c r="K124" s="209">
        <v>294000</v>
      </c>
      <c r="L124" s="209">
        <v>0</v>
      </c>
      <c r="M124" s="209">
        <v>1470000</v>
      </c>
      <c r="N124" s="7" t="s">
        <v>4625</v>
      </c>
      <c r="O124" s="7" t="s">
        <v>124</v>
      </c>
    </row>
    <row r="125" spans="1:15" s="224" customFormat="1" ht="15" customHeight="1" x14ac:dyDescent="0.25">
      <c r="A125" s="7" t="s">
        <v>4194</v>
      </c>
      <c r="B125" s="7" t="s">
        <v>18</v>
      </c>
      <c r="C125" s="7" t="s">
        <v>4691</v>
      </c>
      <c r="D125" s="7" t="s">
        <v>923</v>
      </c>
      <c r="E125" s="7" t="s">
        <v>4193</v>
      </c>
      <c r="F125" s="7" t="s">
        <v>1094</v>
      </c>
      <c r="G125" s="7" t="s">
        <v>177</v>
      </c>
      <c r="H125" s="7" t="s">
        <v>178</v>
      </c>
      <c r="I125" s="7" t="s">
        <v>1277</v>
      </c>
      <c r="J125" s="209">
        <v>128000</v>
      </c>
      <c r="K125" s="209">
        <v>32000</v>
      </c>
      <c r="L125" s="209">
        <v>0</v>
      </c>
      <c r="M125" s="209">
        <v>160000</v>
      </c>
      <c r="N125" s="7" t="s">
        <v>4625</v>
      </c>
      <c r="O125" s="7" t="s">
        <v>125</v>
      </c>
    </row>
    <row r="126" spans="1:15" s="224" customFormat="1" ht="15" customHeight="1" x14ac:dyDescent="0.25">
      <c r="A126" s="7" t="s">
        <v>4194</v>
      </c>
      <c r="B126" s="7" t="s">
        <v>18</v>
      </c>
      <c r="C126" s="7" t="s">
        <v>4691</v>
      </c>
      <c r="D126" s="7" t="s">
        <v>923</v>
      </c>
      <c r="E126" s="7" t="s">
        <v>4193</v>
      </c>
      <c r="F126" s="7" t="s">
        <v>1094</v>
      </c>
      <c r="G126" s="7" t="s">
        <v>212</v>
      </c>
      <c r="H126" s="7" t="s">
        <v>213</v>
      </c>
      <c r="I126" s="7" t="s">
        <v>1277</v>
      </c>
      <c r="J126" s="209">
        <v>100238</v>
      </c>
      <c r="K126" s="209">
        <v>25059.600000000002</v>
      </c>
      <c r="L126" s="209">
        <v>0</v>
      </c>
      <c r="M126" s="209">
        <v>125298</v>
      </c>
      <c r="N126" s="7" t="s">
        <v>4625</v>
      </c>
      <c r="O126" s="7" t="s">
        <v>125</v>
      </c>
    </row>
    <row r="127" spans="1:15" s="224" customFormat="1" ht="15" customHeight="1" x14ac:dyDescent="0.25">
      <c r="A127" s="187" t="s">
        <v>857</v>
      </c>
      <c r="B127" s="61" t="s">
        <v>18</v>
      </c>
      <c r="C127" s="7" t="s">
        <v>4691</v>
      </c>
      <c r="D127" s="199" t="s">
        <v>328</v>
      </c>
      <c r="E127" s="199" t="s">
        <v>1075</v>
      </c>
      <c r="F127" s="199" t="s">
        <v>1186</v>
      </c>
      <c r="G127" s="7" t="s">
        <v>117</v>
      </c>
      <c r="H127" s="7" t="s">
        <v>651</v>
      </c>
      <c r="I127" s="199" t="s">
        <v>2581</v>
      </c>
      <c r="J127" s="235">
        <v>19593</v>
      </c>
      <c r="K127" s="211">
        <v>4898</v>
      </c>
      <c r="L127" s="211">
        <v>0</v>
      </c>
      <c r="M127" s="235">
        <v>24491</v>
      </c>
      <c r="N127" s="61" t="s">
        <v>4625</v>
      </c>
      <c r="O127" s="61" t="s">
        <v>125</v>
      </c>
    </row>
    <row r="128" spans="1:15" s="224" customFormat="1" ht="15" customHeight="1" x14ac:dyDescent="0.25">
      <c r="A128" s="7" t="s">
        <v>3158</v>
      </c>
      <c r="B128" s="7" t="s">
        <v>18</v>
      </c>
      <c r="C128" s="7" t="s">
        <v>4691</v>
      </c>
      <c r="D128" s="7" t="s">
        <v>336</v>
      </c>
      <c r="E128" s="7" t="s">
        <v>3157</v>
      </c>
      <c r="F128" s="7" t="s">
        <v>3156</v>
      </c>
      <c r="G128" s="7" t="s">
        <v>2345</v>
      </c>
      <c r="H128" s="7" t="s">
        <v>1901</v>
      </c>
      <c r="I128" s="7" t="s">
        <v>2653</v>
      </c>
      <c r="J128" s="209">
        <v>622636</v>
      </c>
      <c r="K128" s="209">
        <v>155659</v>
      </c>
      <c r="L128" s="209">
        <v>0</v>
      </c>
      <c r="M128" s="209">
        <v>778295</v>
      </c>
      <c r="N128" s="7" t="s">
        <v>4616</v>
      </c>
      <c r="O128" s="7" t="s">
        <v>126</v>
      </c>
    </row>
    <row r="129" spans="1:15" s="224" customFormat="1" ht="15" customHeight="1" x14ac:dyDescent="0.25">
      <c r="A129" s="7" t="s">
        <v>2977</v>
      </c>
      <c r="B129" s="7" t="s">
        <v>18</v>
      </c>
      <c r="C129" s="7" t="s">
        <v>4691</v>
      </c>
      <c r="D129" s="7" t="s">
        <v>972</v>
      </c>
      <c r="E129" s="7" t="s">
        <v>2976</v>
      </c>
      <c r="F129" s="7" t="s">
        <v>2975</v>
      </c>
      <c r="G129" s="7" t="s">
        <v>2345</v>
      </c>
      <c r="H129" s="7" t="s">
        <v>74</v>
      </c>
      <c r="I129" s="7" t="s">
        <v>2581</v>
      </c>
      <c r="J129" s="209">
        <v>526926</v>
      </c>
      <c r="K129" s="209">
        <v>150550.39999999999</v>
      </c>
      <c r="L129" s="209">
        <v>75275.599999999977</v>
      </c>
      <c r="M129" s="209">
        <v>752752</v>
      </c>
      <c r="N129" s="7" t="s">
        <v>225</v>
      </c>
      <c r="O129" s="7" t="s">
        <v>125</v>
      </c>
    </row>
    <row r="130" spans="1:15" s="224" customFormat="1" ht="15" customHeight="1" x14ac:dyDescent="0.25">
      <c r="A130" s="7" t="s">
        <v>2977</v>
      </c>
      <c r="B130" s="7" t="s">
        <v>18</v>
      </c>
      <c r="C130" s="7" t="s">
        <v>4691</v>
      </c>
      <c r="D130" s="7" t="s">
        <v>972</v>
      </c>
      <c r="E130" s="7" t="s">
        <v>2976</v>
      </c>
      <c r="F130" s="7" t="s">
        <v>2975</v>
      </c>
      <c r="G130" s="7" t="s">
        <v>177</v>
      </c>
      <c r="H130" s="7" t="s">
        <v>178</v>
      </c>
      <c r="I130" s="7" t="s">
        <v>2581</v>
      </c>
      <c r="J130" s="209">
        <v>44000</v>
      </c>
      <c r="K130" s="209">
        <v>12580</v>
      </c>
      <c r="L130" s="209">
        <v>6320</v>
      </c>
      <c r="M130" s="209">
        <v>62900</v>
      </c>
      <c r="N130" s="7" t="s">
        <v>225</v>
      </c>
      <c r="O130" s="7" t="s">
        <v>125</v>
      </c>
    </row>
    <row r="131" spans="1:15" s="224" customFormat="1" ht="15" customHeight="1" x14ac:dyDescent="0.25">
      <c r="A131" s="7" t="s">
        <v>2977</v>
      </c>
      <c r="B131" s="7" t="s">
        <v>18</v>
      </c>
      <c r="C131" s="7" t="s">
        <v>4691</v>
      </c>
      <c r="D131" s="7" t="s">
        <v>972</v>
      </c>
      <c r="E131" s="7" t="s">
        <v>2976</v>
      </c>
      <c r="F131" s="7" t="s">
        <v>2975</v>
      </c>
      <c r="G131" s="7" t="s">
        <v>212</v>
      </c>
      <c r="H131" s="7" t="s">
        <v>213</v>
      </c>
      <c r="I131" s="7" t="s">
        <v>2581</v>
      </c>
      <c r="J131" s="209">
        <v>21600</v>
      </c>
      <c r="K131" s="209">
        <v>9262.7999999999993</v>
      </c>
      <c r="L131" s="209">
        <v>0</v>
      </c>
      <c r="M131" s="209">
        <v>30876</v>
      </c>
      <c r="N131" s="7" t="s">
        <v>225</v>
      </c>
      <c r="O131" s="7" t="s">
        <v>125</v>
      </c>
    </row>
    <row r="132" spans="1:15" s="224" customFormat="1" ht="15" customHeight="1" x14ac:dyDescent="0.25">
      <c r="A132" s="7" t="s">
        <v>4530</v>
      </c>
      <c r="B132" s="7" t="s">
        <v>18</v>
      </c>
      <c r="C132" s="7" t="s">
        <v>4691</v>
      </c>
      <c r="D132" s="7" t="s">
        <v>328</v>
      </c>
      <c r="E132" s="7" t="s">
        <v>41</v>
      </c>
      <c r="F132" s="7" t="s">
        <v>4529</v>
      </c>
      <c r="G132" s="7" t="s">
        <v>2345</v>
      </c>
      <c r="H132" s="7" t="s">
        <v>4711</v>
      </c>
      <c r="I132" s="7" t="s">
        <v>2781</v>
      </c>
      <c r="J132" s="209">
        <v>57750</v>
      </c>
      <c r="K132" s="209">
        <v>14438</v>
      </c>
      <c r="L132" s="209">
        <v>0</v>
      </c>
      <c r="M132" s="209">
        <v>72190</v>
      </c>
      <c r="N132" s="7" t="s">
        <v>4616</v>
      </c>
      <c r="O132" s="7" t="s">
        <v>124</v>
      </c>
    </row>
    <row r="133" spans="1:15" s="224" customFormat="1" ht="15" customHeight="1" x14ac:dyDescent="0.25">
      <c r="A133" s="7" t="s">
        <v>2824</v>
      </c>
      <c r="B133" s="7" t="s">
        <v>18</v>
      </c>
      <c r="C133" s="7" t="s">
        <v>4691</v>
      </c>
      <c r="D133" s="7" t="s">
        <v>958</v>
      </c>
      <c r="E133" s="7" t="s">
        <v>41</v>
      </c>
      <c r="F133" s="7" t="s">
        <v>2823</v>
      </c>
      <c r="G133" s="7" t="s">
        <v>2345</v>
      </c>
      <c r="H133" s="7" t="s">
        <v>2822</v>
      </c>
      <c r="I133" s="7" t="s">
        <v>1278</v>
      </c>
      <c r="J133" s="209">
        <v>88000</v>
      </c>
      <c r="K133" s="209">
        <v>22000</v>
      </c>
      <c r="L133" s="209">
        <v>0</v>
      </c>
      <c r="M133" s="209">
        <v>110000</v>
      </c>
      <c r="N133" s="7" t="s">
        <v>4623</v>
      </c>
      <c r="O133" s="7" t="s">
        <v>124</v>
      </c>
    </row>
    <row r="134" spans="1:15" s="224" customFormat="1" ht="15" customHeight="1" x14ac:dyDescent="0.25">
      <c r="A134" s="7" t="s">
        <v>2795</v>
      </c>
      <c r="B134" s="7" t="s">
        <v>18</v>
      </c>
      <c r="C134" s="7" t="s">
        <v>4691</v>
      </c>
      <c r="D134" s="7" t="s">
        <v>923</v>
      </c>
      <c r="E134" s="7" t="s">
        <v>2793</v>
      </c>
      <c r="F134" s="7" t="s">
        <v>2792</v>
      </c>
      <c r="G134" s="7" t="s">
        <v>2345</v>
      </c>
      <c r="H134" s="8" t="s">
        <v>219</v>
      </c>
      <c r="I134" s="7" t="s">
        <v>2581</v>
      </c>
      <c r="J134" s="209">
        <v>0</v>
      </c>
      <c r="K134" s="209">
        <v>0</v>
      </c>
      <c r="L134" s="209">
        <v>2808395</v>
      </c>
      <c r="M134" s="209">
        <v>2808395</v>
      </c>
      <c r="N134" s="7" t="s">
        <v>225</v>
      </c>
      <c r="O134" s="7" t="s">
        <v>125</v>
      </c>
    </row>
    <row r="135" spans="1:15" s="224" customFormat="1" ht="15" customHeight="1" x14ac:dyDescent="0.25">
      <c r="A135" s="7" t="s">
        <v>2795</v>
      </c>
      <c r="B135" s="7" t="s">
        <v>18</v>
      </c>
      <c r="C135" s="7" t="s">
        <v>4691</v>
      </c>
      <c r="D135" s="7" t="s">
        <v>923</v>
      </c>
      <c r="E135" s="7" t="s">
        <v>2793</v>
      </c>
      <c r="F135" s="7" t="s">
        <v>2792</v>
      </c>
      <c r="G135" s="7" t="s">
        <v>2345</v>
      </c>
      <c r="H135" s="7" t="s">
        <v>74</v>
      </c>
      <c r="I135" s="7" t="s">
        <v>2581</v>
      </c>
      <c r="J135" s="209">
        <v>817932</v>
      </c>
      <c r="K135" s="209">
        <v>374933.80000000005</v>
      </c>
      <c r="L135" s="209">
        <v>681803.2</v>
      </c>
      <c r="M135" s="209">
        <v>1874669</v>
      </c>
      <c r="N135" s="7" t="s">
        <v>225</v>
      </c>
      <c r="O135" s="7" t="s">
        <v>125</v>
      </c>
    </row>
    <row r="136" spans="1:15" s="224" customFormat="1" ht="15" customHeight="1" x14ac:dyDescent="0.25">
      <c r="A136" s="7" t="s">
        <v>2795</v>
      </c>
      <c r="B136" s="7" t="s">
        <v>18</v>
      </c>
      <c r="C136" s="7" t="s">
        <v>4691</v>
      </c>
      <c r="D136" s="7" t="s">
        <v>923</v>
      </c>
      <c r="E136" s="7" t="s">
        <v>2793</v>
      </c>
      <c r="F136" s="7" t="s">
        <v>2792</v>
      </c>
      <c r="G136" s="7" t="s">
        <v>177</v>
      </c>
      <c r="H136" s="7" t="s">
        <v>178</v>
      </c>
      <c r="I136" s="7" t="s">
        <v>2581</v>
      </c>
      <c r="J136" s="209">
        <v>185015</v>
      </c>
      <c r="K136" s="209">
        <v>52861.428000000007</v>
      </c>
      <c r="L136" s="209">
        <v>26430.712</v>
      </c>
      <c r="M136" s="209">
        <v>264307.14</v>
      </c>
      <c r="N136" s="7" t="s">
        <v>225</v>
      </c>
      <c r="O136" s="7" t="s">
        <v>125</v>
      </c>
    </row>
    <row r="137" spans="1:15" s="224" customFormat="1" ht="15" customHeight="1" x14ac:dyDescent="0.25">
      <c r="A137" s="7" t="s">
        <v>2795</v>
      </c>
      <c r="B137" s="7" t="s">
        <v>18</v>
      </c>
      <c r="C137" s="7" t="s">
        <v>4691</v>
      </c>
      <c r="D137" s="7" t="s">
        <v>923</v>
      </c>
      <c r="E137" s="7" t="s">
        <v>2793</v>
      </c>
      <c r="F137" s="7" t="s">
        <v>4547</v>
      </c>
      <c r="G137" s="7" t="s">
        <v>212</v>
      </c>
      <c r="H137" s="7" t="s">
        <v>213</v>
      </c>
      <c r="I137" s="7" t="s">
        <v>2581</v>
      </c>
      <c r="J137" s="209">
        <v>38533</v>
      </c>
      <c r="K137" s="209">
        <v>11009.400000000001</v>
      </c>
      <c r="L137" s="209">
        <v>5504.5999999999985</v>
      </c>
      <c r="M137" s="209">
        <v>55047</v>
      </c>
      <c r="N137" s="7" t="s">
        <v>225</v>
      </c>
      <c r="O137" s="7" t="s">
        <v>125</v>
      </c>
    </row>
    <row r="138" spans="1:15" s="224" customFormat="1" ht="15" customHeight="1" x14ac:dyDescent="0.25">
      <c r="A138" s="7" t="s">
        <v>4120</v>
      </c>
      <c r="B138" s="7" t="s">
        <v>18</v>
      </c>
      <c r="C138" s="7" t="s">
        <v>4691</v>
      </c>
      <c r="D138" s="7" t="s">
        <v>923</v>
      </c>
      <c r="E138" s="7" t="s">
        <v>41</v>
      </c>
      <c r="F138" s="7" t="s">
        <v>4119</v>
      </c>
      <c r="G138" s="7" t="s">
        <v>2345</v>
      </c>
      <c r="H138" s="7" t="s">
        <v>74</v>
      </c>
      <c r="I138" s="7" t="s">
        <v>2581</v>
      </c>
      <c r="J138" s="209">
        <v>1740044</v>
      </c>
      <c r="K138" s="209">
        <v>745733.4</v>
      </c>
      <c r="L138" s="209">
        <v>0</v>
      </c>
      <c r="M138" s="209">
        <v>2485778</v>
      </c>
      <c r="N138" s="7" t="s">
        <v>225</v>
      </c>
      <c r="O138" s="7" t="s">
        <v>125</v>
      </c>
    </row>
    <row r="139" spans="1:15" s="224" customFormat="1" ht="15" customHeight="1" x14ac:dyDescent="0.25">
      <c r="A139" s="7" t="s">
        <v>4120</v>
      </c>
      <c r="B139" s="7" t="s">
        <v>18</v>
      </c>
      <c r="C139" s="7" t="s">
        <v>4691</v>
      </c>
      <c r="D139" s="7" t="s">
        <v>923</v>
      </c>
      <c r="E139" s="7" t="s">
        <v>41</v>
      </c>
      <c r="F139" s="7" t="s">
        <v>4119</v>
      </c>
      <c r="G139" s="7" t="s">
        <v>177</v>
      </c>
      <c r="H139" s="7" t="s">
        <v>178</v>
      </c>
      <c r="I139" s="7" t="s">
        <v>2581</v>
      </c>
      <c r="J139" s="209">
        <v>85319</v>
      </c>
      <c r="K139" s="209">
        <v>36565.5</v>
      </c>
      <c r="L139" s="209">
        <v>0</v>
      </c>
      <c r="M139" s="209">
        <v>121885</v>
      </c>
      <c r="N139" s="7" t="s">
        <v>225</v>
      </c>
      <c r="O139" s="7" t="s">
        <v>125</v>
      </c>
    </row>
    <row r="140" spans="1:15" s="224" customFormat="1" ht="15" customHeight="1" x14ac:dyDescent="0.25">
      <c r="A140" s="7" t="s">
        <v>3859</v>
      </c>
      <c r="B140" s="7" t="s">
        <v>18</v>
      </c>
      <c r="C140" s="7" t="s">
        <v>4691</v>
      </c>
      <c r="D140" s="7" t="s">
        <v>3858</v>
      </c>
      <c r="E140" s="7" t="s">
        <v>3857</v>
      </c>
      <c r="F140" s="7" t="s">
        <v>3722</v>
      </c>
      <c r="G140" s="7" t="s">
        <v>117</v>
      </c>
      <c r="H140" s="7" t="s">
        <v>119</v>
      </c>
      <c r="I140" s="7" t="s">
        <v>1277</v>
      </c>
      <c r="J140" s="209">
        <v>136000</v>
      </c>
      <c r="K140" s="209">
        <v>34000</v>
      </c>
      <c r="L140" s="209">
        <v>0</v>
      </c>
      <c r="M140" s="209">
        <v>170000</v>
      </c>
      <c r="N140" s="7" t="s">
        <v>4625</v>
      </c>
      <c r="O140" s="7" t="s">
        <v>125</v>
      </c>
    </row>
    <row r="141" spans="1:15" s="224" customFormat="1" ht="15" customHeight="1" x14ac:dyDescent="0.25">
      <c r="A141" s="7" t="s">
        <v>3519</v>
      </c>
      <c r="B141" s="7" t="s">
        <v>18</v>
      </c>
      <c r="C141" s="7" t="s">
        <v>4691</v>
      </c>
      <c r="D141" s="7" t="s">
        <v>958</v>
      </c>
      <c r="E141" s="7" t="s">
        <v>3518</v>
      </c>
      <c r="F141" s="7" t="s">
        <v>3517</v>
      </c>
      <c r="G141" s="7" t="s">
        <v>117</v>
      </c>
      <c r="H141" s="7" t="s">
        <v>119</v>
      </c>
      <c r="I141" s="7" t="s">
        <v>1277</v>
      </c>
      <c r="J141" s="209">
        <v>349963</v>
      </c>
      <c r="K141" s="209">
        <v>87490.75</v>
      </c>
      <c r="L141" s="209">
        <v>0</v>
      </c>
      <c r="M141" s="209">
        <v>437454</v>
      </c>
      <c r="N141" s="7" t="s">
        <v>4625</v>
      </c>
      <c r="O141" s="7" t="s">
        <v>124</v>
      </c>
    </row>
    <row r="142" spans="1:15" s="224" customFormat="1" ht="15" customHeight="1" x14ac:dyDescent="0.25">
      <c r="A142" s="223" t="s">
        <v>339</v>
      </c>
      <c r="B142" s="224" t="s">
        <v>90</v>
      </c>
      <c r="C142" s="224" t="s">
        <v>4614</v>
      </c>
      <c r="D142" s="225" t="s">
        <v>340</v>
      </c>
      <c r="E142" s="224" t="s">
        <v>333</v>
      </c>
      <c r="F142" s="224" t="s">
        <v>341</v>
      </c>
      <c r="G142" s="224" t="s">
        <v>212</v>
      </c>
      <c r="H142" s="224" t="s">
        <v>213</v>
      </c>
      <c r="I142" s="224" t="s">
        <v>224</v>
      </c>
      <c r="J142" s="226"/>
      <c r="K142" s="226"/>
      <c r="L142" s="226">
        <v>111144</v>
      </c>
      <c r="M142" s="226">
        <v>111144</v>
      </c>
      <c r="N142" s="224" t="s">
        <v>4624</v>
      </c>
      <c r="O142" s="224" t="s">
        <v>124</v>
      </c>
    </row>
    <row r="143" spans="1:15" s="224" customFormat="1" ht="15" customHeight="1" x14ac:dyDescent="0.25">
      <c r="A143" s="224" t="s">
        <v>4697</v>
      </c>
      <c r="B143" s="227" t="s">
        <v>90</v>
      </c>
      <c r="C143" s="224" t="s">
        <v>4691</v>
      </c>
      <c r="D143" s="227" t="s">
        <v>91</v>
      </c>
      <c r="E143" s="227" t="s">
        <v>93</v>
      </c>
      <c r="F143" s="227" t="s">
        <v>102</v>
      </c>
      <c r="G143" s="224" t="s">
        <v>117</v>
      </c>
      <c r="H143" s="227" t="s">
        <v>123</v>
      </c>
      <c r="I143" s="227" t="s">
        <v>83</v>
      </c>
      <c r="L143" s="232">
        <v>485177.43</v>
      </c>
      <c r="M143" s="232">
        <v>485177.43</v>
      </c>
      <c r="N143" s="224" t="s">
        <v>79</v>
      </c>
      <c r="O143" s="224" t="s">
        <v>124</v>
      </c>
    </row>
    <row r="144" spans="1:15" s="224" customFormat="1" ht="15" customHeight="1" x14ac:dyDescent="0.25">
      <c r="A144" s="224" t="s">
        <v>4697</v>
      </c>
      <c r="B144" s="227" t="s">
        <v>90</v>
      </c>
      <c r="C144" s="224" t="s">
        <v>4691</v>
      </c>
      <c r="D144" s="227" t="s">
        <v>91</v>
      </c>
      <c r="E144" s="227" t="s">
        <v>98</v>
      </c>
      <c r="F144" s="227" t="s">
        <v>115</v>
      </c>
      <c r="G144" s="224" t="s">
        <v>73</v>
      </c>
      <c r="H144" s="227" t="s">
        <v>123</v>
      </c>
      <c r="I144" s="227" t="s">
        <v>83</v>
      </c>
      <c r="L144" s="232">
        <v>2400</v>
      </c>
      <c r="M144" s="232">
        <v>2400</v>
      </c>
      <c r="N144" s="224" t="s">
        <v>79</v>
      </c>
      <c r="O144" s="224" t="s">
        <v>124</v>
      </c>
    </row>
    <row r="145" spans="1:15" s="224" customFormat="1" ht="15" customHeight="1" x14ac:dyDescent="0.25">
      <c r="A145" s="223" t="s">
        <v>4697</v>
      </c>
      <c r="B145" s="224" t="s">
        <v>90</v>
      </c>
      <c r="C145" s="224" t="s">
        <v>4691</v>
      </c>
      <c r="D145" s="225" t="s">
        <v>228</v>
      </c>
      <c r="E145" s="224" t="s">
        <v>229</v>
      </c>
      <c r="F145" s="224" t="s">
        <v>230</v>
      </c>
      <c r="G145" s="224" t="s">
        <v>2345</v>
      </c>
      <c r="H145" s="224" t="s">
        <v>219</v>
      </c>
      <c r="I145" s="224" t="s">
        <v>220</v>
      </c>
      <c r="J145" s="226"/>
      <c r="K145" s="226"/>
      <c r="L145" s="226">
        <v>97412.4</v>
      </c>
      <c r="M145" s="226">
        <v>97412.4</v>
      </c>
      <c r="N145" s="224" t="s">
        <v>225</v>
      </c>
      <c r="O145" s="224" t="s">
        <v>125</v>
      </c>
    </row>
    <row r="146" spans="1:15" s="224" customFormat="1" ht="15" customHeight="1" x14ac:dyDescent="0.25">
      <c r="A146" s="223" t="s">
        <v>342</v>
      </c>
      <c r="B146" s="224" t="s">
        <v>90</v>
      </c>
      <c r="C146" s="224" t="s">
        <v>4614</v>
      </c>
      <c r="D146" s="225" t="s">
        <v>343</v>
      </c>
      <c r="E146" s="224" t="s">
        <v>344</v>
      </c>
      <c r="F146" s="224" t="s">
        <v>345</v>
      </c>
      <c r="G146" s="224" t="s">
        <v>73</v>
      </c>
      <c r="H146" s="224" t="s">
        <v>245</v>
      </c>
      <c r="I146" s="224" t="s">
        <v>224</v>
      </c>
      <c r="J146" s="226"/>
      <c r="K146" s="226"/>
      <c r="L146" s="226">
        <v>1122.18</v>
      </c>
      <c r="M146" s="226">
        <v>1122.18</v>
      </c>
      <c r="N146" s="224" t="s">
        <v>79</v>
      </c>
      <c r="O146" s="224" t="s">
        <v>124</v>
      </c>
    </row>
    <row r="147" spans="1:15" s="224" customFormat="1" ht="15" customHeight="1" x14ac:dyDescent="0.25">
      <c r="A147" s="223" t="s">
        <v>342</v>
      </c>
      <c r="B147" s="224" t="s">
        <v>90</v>
      </c>
      <c r="C147" s="224" t="s">
        <v>4614</v>
      </c>
      <c r="D147" s="225" t="s">
        <v>343</v>
      </c>
      <c r="E147" s="224" t="s">
        <v>344</v>
      </c>
      <c r="F147" s="224" t="s">
        <v>345</v>
      </c>
      <c r="G147" s="224" t="s">
        <v>212</v>
      </c>
      <c r="H147" s="224" t="s">
        <v>213</v>
      </c>
      <c r="I147" s="224" t="s">
        <v>224</v>
      </c>
      <c r="J147" s="226"/>
      <c r="K147" s="226"/>
      <c r="L147" s="226">
        <v>467262</v>
      </c>
      <c r="M147" s="226">
        <v>467262</v>
      </c>
      <c r="N147" s="224" t="s">
        <v>79</v>
      </c>
      <c r="O147" s="224" t="s">
        <v>124</v>
      </c>
    </row>
    <row r="148" spans="1:15" s="224" customFormat="1" ht="15" customHeight="1" x14ac:dyDescent="0.25">
      <c r="A148" s="223" t="s">
        <v>346</v>
      </c>
      <c r="B148" s="224" t="s">
        <v>90</v>
      </c>
      <c r="C148" s="224" t="s">
        <v>4614</v>
      </c>
      <c r="D148" s="225" t="s">
        <v>347</v>
      </c>
      <c r="E148" s="224" t="s">
        <v>348</v>
      </c>
      <c r="F148" s="224" t="s">
        <v>349</v>
      </c>
      <c r="G148" s="224" t="s">
        <v>73</v>
      </c>
      <c r="H148" s="224" t="s">
        <v>245</v>
      </c>
      <c r="I148" s="224" t="s">
        <v>224</v>
      </c>
      <c r="J148" s="226"/>
      <c r="K148" s="226"/>
      <c r="L148" s="226">
        <v>406591.62</v>
      </c>
      <c r="M148" s="226">
        <v>406591.62</v>
      </c>
      <c r="N148" s="224" t="s">
        <v>79</v>
      </c>
      <c r="O148" s="224" t="s">
        <v>124</v>
      </c>
    </row>
    <row r="149" spans="1:15" s="224" customFormat="1" ht="15" customHeight="1" x14ac:dyDescent="0.25">
      <c r="A149" s="223" t="s">
        <v>346</v>
      </c>
      <c r="B149" s="224" t="s">
        <v>90</v>
      </c>
      <c r="C149" s="224" t="s">
        <v>4614</v>
      </c>
      <c r="D149" s="225" t="s">
        <v>347</v>
      </c>
      <c r="E149" s="224" t="s">
        <v>348</v>
      </c>
      <c r="F149" s="224" t="s">
        <v>349</v>
      </c>
      <c r="G149" s="224" t="s">
        <v>212</v>
      </c>
      <c r="H149" s="224" t="s">
        <v>213</v>
      </c>
      <c r="I149" s="224" t="s">
        <v>224</v>
      </c>
      <c r="J149" s="226"/>
      <c r="K149" s="226"/>
      <c r="L149" s="226">
        <v>102259</v>
      </c>
      <c r="M149" s="226">
        <v>102259</v>
      </c>
      <c r="N149" s="224" t="s">
        <v>79</v>
      </c>
      <c r="O149" s="224" t="s">
        <v>124</v>
      </c>
    </row>
    <row r="150" spans="1:15" s="224" customFormat="1" ht="15" customHeight="1" x14ac:dyDescent="0.25">
      <c r="A150" s="187" t="s">
        <v>755</v>
      </c>
      <c r="B150" s="61" t="s">
        <v>18</v>
      </c>
      <c r="C150" s="7" t="s">
        <v>4614</v>
      </c>
      <c r="D150" s="199" t="s">
        <v>91</v>
      </c>
      <c r="E150" s="199" t="s">
        <v>2772</v>
      </c>
      <c r="F150" s="199" t="s">
        <v>4642</v>
      </c>
      <c r="G150" s="7" t="s">
        <v>2345</v>
      </c>
      <c r="H150" s="199" t="s">
        <v>1217</v>
      </c>
      <c r="I150" s="199" t="s">
        <v>2581</v>
      </c>
      <c r="J150" s="235">
        <v>53847.82</v>
      </c>
      <c r="K150" s="211">
        <v>23077.18</v>
      </c>
      <c r="L150" s="211">
        <v>0</v>
      </c>
      <c r="M150" s="235">
        <v>76925</v>
      </c>
      <c r="N150" s="61" t="s">
        <v>82</v>
      </c>
      <c r="O150" s="61" t="s">
        <v>124</v>
      </c>
    </row>
    <row r="151" spans="1:15" s="224" customFormat="1" ht="15" customHeight="1" x14ac:dyDescent="0.25">
      <c r="A151" s="187" t="s">
        <v>846</v>
      </c>
      <c r="B151" s="61" t="s">
        <v>90</v>
      </c>
      <c r="C151" s="7" t="s">
        <v>4614</v>
      </c>
      <c r="D151" s="199" t="s">
        <v>347</v>
      </c>
      <c r="E151" s="199" t="s">
        <v>4677</v>
      </c>
      <c r="F151" s="199" t="s">
        <v>41</v>
      </c>
      <c r="G151" s="224" t="s">
        <v>212</v>
      </c>
      <c r="H151" s="199" t="s">
        <v>4715</v>
      </c>
      <c r="I151" s="61" t="s">
        <v>867</v>
      </c>
      <c r="J151" s="235">
        <v>40000</v>
      </c>
      <c r="K151" s="211">
        <v>10000</v>
      </c>
      <c r="L151" s="211">
        <v>0</v>
      </c>
      <c r="M151" s="235">
        <v>50000</v>
      </c>
      <c r="N151" s="61" t="s">
        <v>624</v>
      </c>
      <c r="O151" s="61" t="s">
        <v>124</v>
      </c>
    </row>
    <row r="152" spans="1:15" s="224" customFormat="1" ht="15" customHeight="1" x14ac:dyDescent="0.25">
      <c r="A152" s="187" t="s">
        <v>846</v>
      </c>
      <c r="B152" s="61" t="s">
        <v>90</v>
      </c>
      <c r="C152" s="7" t="s">
        <v>4614</v>
      </c>
      <c r="D152" s="199" t="s">
        <v>347</v>
      </c>
      <c r="E152" s="199" t="s">
        <v>1051</v>
      </c>
      <c r="F152" s="199" t="s">
        <v>41</v>
      </c>
      <c r="G152" s="224" t="s">
        <v>212</v>
      </c>
      <c r="H152" s="199" t="s">
        <v>4715</v>
      </c>
      <c r="I152" s="199" t="s">
        <v>867</v>
      </c>
      <c r="J152" s="235">
        <v>78444</v>
      </c>
      <c r="K152" s="211">
        <v>19611</v>
      </c>
      <c r="L152" s="211">
        <v>0</v>
      </c>
      <c r="M152" s="235">
        <v>98055</v>
      </c>
      <c r="N152" s="61" t="s">
        <v>624</v>
      </c>
      <c r="O152" s="61" t="s">
        <v>124</v>
      </c>
    </row>
    <row r="153" spans="1:15" s="224" customFormat="1" ht="15" customHeight="1" x14ac:dyDescent="0.25">
      <c r="A153" s="187" t="s">
        <v>824</v>
      </c>
      <c r="B153" s="61" t="s">
        <v>90</v>
      </c>
      <c r="C153" s="7" t="s">
        <v>4614</v>
      </c>
      <c r="D153" s="199" t="s">
        <v>360</v>
      </c>
      <c r="E153" s="199" t="s">
        <v>479</v>
      </c>
      <c r="F153" s="199" t="s">
        <v>1163</v>
      </c>
      <c r="G153" s="7" t="s">
        <v>2345</v>
      </c>
      <c r="H153" s="199" t="s">
        <v>1235</v>
      </c>
      <c r="I153" s="61" t="s">
        <v>1276</v>
      </c>
      <c r="J153" s="235">
        <v>4616.05</v>
      </c>
      <c r="K153" s="211">
        <v>512.94999999999982</v>
      </c>
      <c r="L153" s="211">
        <v>0</v>
      </c>
      <c r="M153" s="235">
        <v>5129</v>
      </c>
      <c r="N153" s="61" t="s">
        <v>4624</v>
      </c>
      <c r="O153" s="61" t="s">
        <v>124</v>
      </c>
    </row>
    <row r="154" spans="1:15" s="224" customFormat="1" ht="15" customHeight="1" x14ac:dyDescent="0.25">
      <c r="A154" s="187" t="s">
        <v>824</v>
      </c>
      <c r="B154" s="61" t="s">
        <v>90</v>
      </c>
      <c r="C154" s="7" t="s">
        <v>4614</v>
      </c>
      <c r="D154" s="199" t="s">
        <v>360</v>
      </c>
      <c r="E154" s="199" t="s">
        <v>479</v>
      </c>
      <c r="F154" s="199" t="s">
        <v>1163</v>
      </c>
      <c r="G154" s="7" t="s">
        <v>2345</v>
      </c>
      <c r="H154" s="199" t="s">
        <v>1235</v>
      </c>
      <c r="I154" s="199" t="s">
        <v>1276</v>
      </c>
      <c r="J154" s="235">
        <v>392.68</v>
      </c>
      <c r="K154" s="211">
        <v>43.319999999999993</v>
      </c>
      <c r="L154" s="211">
        <v>0</v>
      </c>
      <c r="M154" s="235">
        <v>436</v>
      </c>
      <c r="N154" s="61" t="s">
        <v>4624</v>
      </c>
      <c r="O154" s="61" t="s">
        <v>124</v>
      </c>
    </row>
    <row r="155" spans="1:15" s="224" customFormat="1" ht="15" customHeight="1" x14ac:dyDescent="0.25">
      <c r="A155" s="187" t="s">
        <v>776</v>
      </c>
      <c r="B155" s="61" t="s">
        <v>90</v>
      </c>
      <c r="C155" s="7" t="s">
        <v>4614</v>
      </c>
      <c r="D155" s="199" t="s">
        <v>347</v>
      </c>
      <c r="E155" s="199" t="s">
        <v>1013</v>
      </c>
      <c r="F155" s="199" t="s">
        <v>1122</v>
      </c>
      <c r="G155" s="7" t="s">
        <v>2345</v>
      </c>
      <c r="H155" s="199" t="s">
        <v>4711</v>
      </c>
      <c r="I155" s="199" t="s">
        <v>2284</v>
      </c>
      <c r="J155" s="235">
        <v>288579</v>
      </c>
      <c r="K155" s="211">
        <v>72145</v>
      </c>
      <c r="L155" s="211">
        <v>0</v>
      </c>
      <c r="M155" s="235">
        <v>360724</v>
      </c>
      <c r="N155" s="61" t="s">
        <v>4616</v>
      </c>
      <c r="O155" s="61" t="s">
        <v>126</v>
      </c>
    </row>
    <row r="156" spans="1:15" s="224" customFormat="1" ht="15" customHeight="1" x14ac:dyDescent="0.25">
      <c r="A156" s="223" t="s">
        <v>350</v>
      </c>
      <c r="B156" s="224" t="s">
        <v>90</v>
      </c>
      <c r="C156" s="224" t="s">
        <v>4614</v>
      </c>
      <c r="D156" s="225" t="s">
        <v>351</v>
      </c>
      <c r="E156" s="224" t="s">
        <v>352</v>
      </c>
      <c r="F156" s="224" t="s">
        <v>353</v>
      </c>
      <c r="G156" s="224" t="s">
        <v>212</v>
      </c>
      <c r="H156" s="224" t="s">
        <v>213</v>
      </c>
      <c r="I156" s="224" t="s">
        <v>224</v>
      </c>
      <c r="J156" s="226"/>
      <c r="K156" s="226"/>
      <c r="L156" s="226">
        <v>325233</v>
      </c>
      <c r="M156" s="226">
        <v>325233</v>
      </c>
      <c r="N156" s="224" t="s">
        <v>79</v>
      </c>
      <c r="O156" s="224" t="s">
        <v>124</v>
      </c>
    </row>
    <row r="157" spans="1:15" s="224" customFormat="1" ht="15" customHeight="1" x14ac:dyDescent="0.25">
      <c r="A157" s="223" t="s">
        <v>354</v>
      </c>
      <c r="B157" s="224" t="s">
        <v>90</v>
      </c>
      <c r="C157" s="224" t="s">
        <v>4614</v>
      </c>
      <c r="D157" s="225" t="s">
        <v>347</v>
      </c>
      <c r="E157" s="224" t="s">
        <v>355</v>
      </c>
      <c r="F157" s="224" t="s">
        <v>348</v>
      </c>
      <c r="G157" s="224" t="s">
        <v>212</v>
      </c>
      <c r="H157" s="224" t="s">
        <v>213</v>
      </c>
      <c r="I157" s="224" t="s">
        <v>224</v>
      </c>
      <c r="J157" s="226"/>
      <c r="K157" s="226"/>
      <c r="L157" s="226">
        <v>48322</v>
      </c>
      <c r="M157" s="226">
        <v>48322</v>
      </c>
      <c r="N157" s="224" t="s">
        <v>4625</v>
      </c>
      <c r="O157" s="224" t="s">
        <v>124</v>
      </c>
    </row>
    <row r="158" spans="1:15" s="224" customFormat="1" ht="15" customHeight="1" x14ac:dyDescent="0.25">
      <c r="A158" s="223" t="s">
        <v>356</v>
      </c>
      <c r="B158" s="224" t="s">
        <v>90</v>
      </c>
      <c r="C158" s="224" t="s">
        <v>4614</v>
      </c>
      <c r="D158" s="225" t="s">
        <v>347</v>
      </c>
      <c r="E158" s="224" t="s">
        <v>357</v>
      </c>
      <c r="F158" s="224" t="s">
        <v>358</v>
      </c>
      <c r="G158" s="224" t="s">
        <v>73</v>
      </c>
      <c r="H158" s="224" t="s">
        <v>245</v>
      </c>
      <c r="I158" s="224" t="s">
        <v>224</v>
      </c>
      <c r="J158" s="226"/>
      <c r="K158" s="226"/>
      <c r="L158" s="226">
        <v>270907.15000000002</v>
      </c>
      <c r="M158" s="226">
        <v>270907.15000000002</v>
      </c>
      <c r="N158" s="224" t="s">
        <v>4624</v>
      </c>
      <c r="O158" s="224" t="s">
        <v>124</v>
      </c>
    </row>
    <row r="159" spans="1:15" s="224" customFormat="1" ht="15" customHeight="1" x14ac:dyDescent="0.25">
      <c r="A159" s="187" t="s">
        <v>831</v>
      </c>
      <c r="B159" s="61" t="s">
        <v>90</v>
      </c>
      <c r="C159" s="7" t="s">
        <v>4614</v>
      </c>
      <c r="D159" s="199" t="s">
        <v>915</v>
      </c>
      <c r="E159" s="199" t="s">
        <v>1053</v>
      </c>
      <c r="F159" s="199" t="s">
        <v>1170</v>
      </c>
      <c r="G159" s="7" t="s">
        <v>2345</v>
      </c>
      <c r="H159" s="7" t="s">
        <v>179</v>
      </c>
      <c r="I159" s="199" t="s">
        <v>2581</v>
      </c>
      <c r="J159" s="235">
        <v>4086</v>
      </c>
      <c r="K159" s="211">
        <v>1022</v>
      </c>
      <c r="L159" s="211">
        <v>0</v>
      </c>
      <c r="M159" s="235">
        <v>5108</v>
      </c>
      <c r="N159" s="61" t="s">
        <v>4625</v>
      </c>
      <c r="O159" s="61" t="s">
        <v>125</v>
      </c>
    </row>
    <row r="160" spans="1:15" s="224" customFormat="1" ht="15" customHeight="1" x14ac:dyDescent="0.25">
      <c r="A160" s="7" t="s">
        <v>4113</v>
      </c>
      <c r="B160" s="7" t="s">
        <v>18</v>
      </c>
      <c r="C160" s="7" t="s">
        <v>4614</v>
      </c>
      <c r="D160" s="7" t="s">
        <v>3638</v>
      </c>
      <c r="E160" s="7" t="s">
        <v>1924</v>
      </c>
      <c r="F160" s="7" t="s">
        <v>4112</v>
      </c>
      <c r="G160" s="224" t="s">
        <v>212</v>
      </c>
      <c r="H160" s="7" t="s">
        <v>213</v>
      </c>
      <c r="I160" s="7" t="s">
        <v>2581</v>
      </c>
      <c r="J160" s="209">
        <v>272942</v>
      </c>
      <c r="K160" s="209">
        <v>68235.5</v>
      </c>
      <c r="L160" s="209">
        <v>214332.5</v>
      </c>
      <c r="M160" s="209">
        <v>555510</v>
      </c>
      <c r="N160" s="7" t="s">
        <v>82</v>
      </c>
      <c r="O160" s="7" t="s">
        <v>126</v>
      </c>
    </row>
    <row r="161" spans="1:15" s="224" customFormat="1" ht="15" customHeight="1" x14ac:dyDescent="0.25">
      <c r="A161" s="223" t="s">
        <v>359</v>
      </c>
      <c r="B161" s="224" t="s">
        <v>90</v>
      </c>
      <c r="C161" s="224" t="s">
        <v>4614</v>
      </c>
      <c r="D161" s="225" t="s">
        <v>360</v>
      </c>
      <c r="E161" s="224" t="s">
        <v>361</v>
      </c>
      <c r="F161" s="224" t="s">
        <v>362</v>
      </c>
      <c r="G161" s="224" t="s">
        <v>73</v>
      </c>
      <c r="H161" s="224" t="s">
        <v>245</v>
      </c>
      <c r="I161" s="224" t="s">
        <v>224</v>
      </c>
      <c r="J161" s="226"/>
      <c r="K161" s="226"/>
      <c r="L161" s="226">
        <v>1334447.52</v>
      </c>
      <c r="M161" s="226">
        <v>1334447.52</v>
      </c>
      <c r="N161" s="224" t="s">
        <v>4624</v>
      </c>
      <c r="O161" s="224" t="s">
        <v>124</v>
      </c>
    </row>
    <row r="162" spans="1:15" s="224" customFormat="1" ht="15" customHeight="1" x14ac:dyDescent="0.25">
      <c r="A162" s="187" t="s">
        <v>734</v>
      </c>
      <c r="B162" s="61" t="s">
        <v>90</v>
      </c>
      <c r="C162" s="7" t="s">
        <v>4614</v>
      </c>
      <c r="D162" s="199" t="s">
        <v>917</v>
      </c>
      <c r="E162" s="199" t="s">
        <v>4679</v>
      </c>
      <c r="F162" s="199" t="s">
        <v>4680</v>
      </c>
      <c r="G162" s="7" t="s">
        <v>2345</v>
      </c>
      <c r="H162" s="199" t="s">
        <v>1199</v>
      </c>
      <c r="I162" s="199" t="s">
        <v>1276</v>
      </c>
      <c r="J162" s="235">
        <v>335741</v>
      </c>
      <c r="K162" s="211">
        <v>37305</v>
      </c>
      <c r="L162" s="211">
        <v>0</v>
      </c>
      <c r="M162" s="235">
        <v>373046</v>
      </c>
      <c r="N162" s="61" t="s">
        <v>79</v>
      </c>
      <c r="O162" s="61" t="s">
        <v>124</v>
      </c>
    </row>
    <row r="163" spans="1:15" s="224" customFormat="1" ht="15" customHeight="1" x14ac:dyDescent="0.25">
      <c r="A163" s="7" t="s">
        <v>730</v>
      </c>
      <c r="B163" s="7" t="s">
        <v>90</v>
      </c>
      <c r="C163" s="7" t="s">
        <v>4614</v>
      </c>
      <c r="D163" s="7" t="s">
        <v>91</v>
      </c>
      <c r="E163" s="7" t="s">
        <v>479</v>
      </c>
      <c r="F163" s="7" t="s">
        <v>1082</v>
      </c>
      <c r="G163" s="7" t="s">
        <v>177</v>
      </c>
      <c r="H163" s="7" t="s">
        <v>178</v>
      </c>
      <c r="I163" s="7" t="s">
        <v>1276</v>
      </c>
      <c r="J163" s="209">
        <v>586957</v>
      </c>
      <c r="K163" s="209">
        <v>65234.7</v>
      </c>
      <c r="L163" s="209">
        <v>5945.3000000000466</v>
      </c>
      <c r="M163" s="209">
        <v>658137</v>
      </c>
      <c r="N163" s="7" t="s">
        <v>4624</v>
      </c>
      <c r="O163" s="7" t="s">
        <v>124</v>
      </c>
    </row>
    <row r="164" spans="1:15" s="224" customFormat="1" ht="15" customHeight="1" x14ac:dyDescent="0.25">
      <c r="A164" s="7" t="s">
        <v>730</v>
      </c>
      <c r="B164" s="7" t="s">
        <v>90</v>
      </c>
      <c r="C164" s="7" t="s">
        <v>4614</v>
      </c>
      <c r="D164" s="7" t="s">
        <v>91</v>
      </c>
      <c r="E164" s="7" t="s">
        <v>479</v>
      </c>
      <c r="F164" s="7" t="s">
        <v>1082</v>
      </c>
      <c r="G164" s="7" t="s">
        <v>2345</v>
      </c>
      <c r="H164" s="7" t="s">
        <v>75</v>
      </c>
      <c r="I164" s="7" t="s">
        <v>1276</v>
      </c>
      <c r="J164" s="209">
        <v>3913046</v>
      </c>
      <c r="K164" s="209">
        <v>434897.5</v>
      </c>
      <c r="L164" s="209">
        <v>39629.5</v>
      </c>
      <c r="M164" s="209">
        <v>4387573</v>
      </c>
      <c r="N164" s="7" t="s">
        <v>4624</v>
      </c>
      <c r="O164" s="7" t="s">
        <v>124</v>
      </c>
    </row>
    <row r="165" spans="1:15" s="224" customFormat="1" ht="15" customHeight="1" x14ac:dyDescent="0.25">
      <c r="A165" s="187" t="s">
        <v>730</v>
      </c>
      <c r="B165" s="61" t="s">
        <v>90</v>
      </c>
      <c r="C165" s="7" t="s">
        <v>4614</v>
      </c>
      <c r="D165" s="199" t="s">
        <v>915</v>
      </c>
      <c r="E165" s="199" t="s">
        <v>479</v>
      </c>
      <c r="F165" s="199" t="s">
        <v>1082</v>
      </c>
      <c r="G165" s="199" t="s">
        <v>2345</v>
      </c>
      <c r="H165" s="15" t="s">
        <v>75</v>
      </c>
      <c r="I165" s="199" t="s">
        <v>1276</v>
      </c>
      <c r="J165" s="235">
        <v>1800003</v>
      </c>
      <c r="K165" s="211">
        <v>245707</v>
      </c>
      <c r="L165" s="211">
        <v>0</v>
      </c>
      <c r="M165" s="235">
        <v>2045710</v>
      </c>
      <c r="N165" s="61" t="s">
        <v>4624</v>
      </c>
      <c r="O165" s="61" t="s">
        <v>124</v>
      </c>
    </row>
    <row r="166" spans="1:15" s="224" customFormat="1" ht="15" customHeight="1" x14ac:dyDescent="0.25">
      <c r="A166" s="215" t="s">
        <v>363</v>
      </c>
      <c r="B166" s="61" t="s">
        <v>90</v>
      </c>
      <c r="C166" s="7" t="s">
        <v>4614</v>
      </c>
      <c r="D166" s="199" t="s">
        <v>364</v>
      </c>
      <c r="E166" s="199" t="s">
        <v>41</v>
      </c>
      <c r="F166" s="199" t="s">
        <v>41</v>
      </c>
      <c r="G166" s="7" t="s">
        <v>2345</v>
      </c>
      <c r="H166" s="199" t="s">
        <v>4749</v>
      </c>
      <c r="I166" s="199" t="s">
        <v>1276</v>
      </c>
      <c r="J166" s="235">
        <v>1175237</v>
      </c>
      <c r="K166" s="211">
        <v>1436401</v>
      </c>
      <c r="L166" s="211">
        <v>0</v>
      </c>
      <c r="M166" s="235">
        <v>2611638</v>
      </c>
      <c r="N166" s="61" t="s">
        <v>79</v>
      </c>
      <c r="O166" s="61" t="s">
        <v>124</v>
      </c>
    </row>
    <row r="167" spans="1:15" s="224" customFormat="1" ht="15" customHeight="1" x14ac:dyDescent="0.25">
      <c r="A167" s="223" t="s">
        <v>363</v>
      </c>
      <c r="B167" s="224" t="s">
        <v>90</v>
      </c>
      <c r="C167" s="224" t="s">
        <v>4614</v>
      </c>
      <c r="D167" s="225" t="s">
        <v>364</v>
      </c>
      <c r="E167" s="224" t="s">
        <v>365</v>
      </c>
      <c r="F167" s="224" t="s">
        <v>366</v>
      </c>
      <c r="G167" s="224" t="s">
        <v>73</v>
      </c>
      <c r="H167" s="224" t="s">
        <v>245</v>
      </c>
      <c r="I167" s="224" t="s">
        <v>224</v>
      </c>
      <c r="J167" s="226"/>
      <c r="K167" s="226"/>
      <c r="L167" s="226">
        <v>86396.71</v>
      </c>
      <c r="M167" s="226">
        <v>86396.71</v>
      </c>
      <c r="N167" s="224" t="s">
        <v>323</v>
      </c>
      <c r="O167" s="224" t="s">
        <v>124</v>
      </c>
    </row>
    <row r="168" spans="1:15" s="224" customFormat="1" ht="15" customHeight="1" x14ac:dyDescent="0.25">
      <c r="A168" s="7" t="s">
        <v>3909</v>
      </c>
      <c r="B168" s="7" t="s">
        <v>90</v>
      </c>
      <c r="C168" s="7" t="s">
        <v>4614</v>
      </c>
      <c r="D168" s="7" t="s">
        <v>3908</v>
      </c>
      <c r="E168" s="7" t="s">
        <v>3907</v>
      </c>
      <c r="F168" s="7" t="s">
        <v>3510</v>
      </c>
      <c r="G168" s="7" t="s">
        <v>2345</v>
      </c>
      <c r="H168" s="7" t="s">
        <v>651</v>
      </c>
      <c r="I168" s="7" t="s">
        <v>1275</v>
      </c>
      <c r="J168" s="209">
        <v>1296000</v>
      </c>
      <c r="K168" s="209">
        <v>324000</v>
      </c>
      <c r="L168" s="209">
        <v>0</v>
      </c>
      <c r="M168" s="209">
        <v>1620000</v>
      </c>
      <c r="N168" s="7" t="s">
        <v>4625</v>
      </c>
      <c r="O168" s="7" t="s">
        <v>125</v>
      </c>
    </row>
    <row r="169" spans="1:15" s="224" customFormat="1" ht="15" customHeight="1" x14ac:dyDescent="0.25">
      <c r="A169" s="7" t="s">
        <v>3909</v>
      </c>
      <c r="B169" s="7" t="s">
        <v>90</v>
      </c>
      <c r="C169" s="7" t="s">
        <v>4614</v>
      </c>
      <c r="D169" s="7" t="s">
        <v>3908</v>
      </c>
      <c r="E169" s="7" t="s">
        <v>3907</v>
      </c>
      <c r="F169" s="7" t="s">
        <v>3510</v>
      </c>
      <c r="G169" s="7" t="s">
        <v>177</v>
      </c>
      <c r="H169" s="7" t="s">
        <v>178</v>
      </c>
      <c r="I169" s="7" t="s">
        <v>1275</v>
      </c>
      <c r="J169" s="209">
        <v>144000</v>
      </c>
      <c r="K169" s="209">
        <v>36000</v>
      </c>
      <c r="L169" s="209">
        <v>0</v>
      </c>
      <c r="M169" s="209">
        <v>180000</v>
      </c>
      <c r="N169" s="7" t="s">
        <v>4625</v>
      </c>
      <c r="O169" s="7" t="s">
        <v>125</v>
      </c>
    </row>
    <row r="170" spans="1:15" s="224" customFormat="1" ht="15" customHeight="1" x14ac:dyDescent="0.25">
      <c r="A170" s="187" t="s">
        <v>783</v>
      </c>
      <c r="B170" s="61" t="s">
        <v>90</v>
      </c>
      <c r="C170" s="7" t="s">
        <v>4614</v>
      </c>
      <c r="D170" s="199" t="s">
        <v>916</v>
      </c>
      <c r="E170" s="199" t="s">
        <v>4654</v>
      </c>
      <c r="F170" s="199" t="s">
        <v>1128</v>
      </c>
      <c r="G170" s="7" t="s">
        <v>2345</v>
      </c>
      <c r="H170" s="199" t="s">
        <v>1225</v>
      </c>
      <c r="I170" s="199" t="s">
        <v>2284</v>
      </c>
      <c r="J170" s="235">
        <v>141801</v>
      </c>
      <c r="K170" s="211">
        <v>301327</v>
      </c>
      <c r="L170" s="211">
        <v>0</v>
      </c>
      <c r="M170" s="235">
        <v>443128</v>
      </c>
      <c r="N170" s="61" t="s">
        <v>4624</v>
      </c>
      <c r="O170" s="61" t="s">
        <v>125</v>
      </c>
    </row>
    <row r="171" spans="1:15" s="224" customFormat="1" ht="15" customHeight="1" x14ac:dyDescent="0.25">
      <c r="A171" s="187" t="s">
        <v>865</v>
      </c>
      <c r="B171" s="61" t="s">
        <v>90</v>
      </c>
      <c r="C171" s="7" t="s">
        <v>4614</v>
      </c>
      <c r="D171" s="199" t="s">
        <v>960</v>
      </c>
      <c r="E171" s="199" t="s">
        <v>979</v>
      </c>
      <c r="F171" s="199" t="s">
        <v>1164</v>
      </c>
      <c r="G171" s="7" t="s">
        <v>2345</v>
      </c>
      <c r="H171" s="199" t="s">
        <v>4710</v>
      </c>
      <c r="I171" s="199" t="s">
        <v>2284</v>
      </c>
      <c r="J171" s="235">
        <v>853051</v>
      </c>
      <c r="K171" s="211">
        <v>924139</v>
      </c>
      <c r="L171" s="211">
        <v>0</v>
      </c>
      <c r="M171" s="235">
        <v>1777190</v>
      </c>
      <c r="N171" s="61" t="s">
        <v>4624</v>
      </c>
      <c r="O171" s="61" t="s">
        <v>124</v>
      </c>
    </row>
    <row r="172" spans="1:15" s="224" customFormat="1" ht="15" customHeight="1" x14ac:dyDescent="0.25">
      <c r="A172" s="7" t="s">
        <v>367</v>
      </c>
      <c r="B172" s="7" t="s">
        <v>90</v>
      </c>
      <c r="C172" s="7" t="s">
        <v>4614</v>
      </c>
      <c r="D172" s="7" t="s">
        <v>343</v>
      </c>
      <c r="E172" s="7" t="s">
        <v>979</v>
      </c>
      <c r="F172" s="7" t="s">
        <v>3939</v>
      </c>
      <c r="G172" s="7" t="s">
        <v>2345</v>
      </c>
      <c r="H172" s="7" t="s">
        <v>75</v>
      </c>
      <c r="I172" s="7" t="s">
        <v>2284</v>
      </c>
      <c r="J172" s="209">
        <v>877230</v>
      </c>
      <c r="K172" s="209">
        <v>219307.40000000002</v>
      </c>
      <c r="L172" s="209">
        <v>9142.6000000000931</v>
      </c>
      <c r="M172" s="209">
        <v>1105680</v>
      </c>
      <c r="N172" s="7" t="s">
        <v>4624</v>
      </c>
      <c r="O172" s="7" t="s">
        <v>124</v>
      </c>
    </row>
    <row r="173" spans="1:15" s="224" customFormat="1" ht="15" customHeight="1" x14ac:dyDescent="0.25">
      <c r="A173" s="7" t="s">
        <v>367</v>
      </c>
      <c r="B173" s="7" t="s">
        <v>90</v>
      </c>
      <c r="C173" s="7" t="s">
        <v>4614</v>
      </c>
      <c r="D173" s="7" t="s">
        <v>343</v>
      </c>
      <c r="E173" s="7" t="s">
        <v>329</v>
      </c>
      <c r="F173" s="7" t="s">
        <v>3985</v>
      </c>
      <c r="G173" s="7" t="s">
        <v>177</v>
      </c>
      <c r="H173" s="7" t="s">
        <v>178</v>
      </c>
      <c r="I173" s="7" t="s">
        <v>2284</v>
      </c>
      <c r="J173" s="209">
        <v>80000</v>
      </c>
      <c r="K173" s="209">
        <v>20000</v>
      </c>
      <c r="L173" s="209">
        <v>0</v>
      </c>
      <c r="M173" s="209">
        <v>100000</v>
      </c>
      <c r="N173" s="7" t="s">
        <v>4624</v>
      </c>
      <c r="O173" s="7" t="s">
        <v>124</v>
      </c>
    </row>
    <row r="174" spans="1:15" s="224" customFormat="1" ht="15" customHeight="1" x14ac:dyDescent="0.25">
      <c r="A174" s="7" t="s">
        <v>367</v>
      </c>
      <c r="B174" s="7" t="s">
        <v>90</v>
      </c>
      <c r="C174" s="7" t="s">
        <v>4614</v>
      </c>
      <c r="D174" s="7" t="s">
        <v>343</v>
      </c>
      <c r="E174" s="7" t="s">
        <v>329</v>
      </c>
      <c r="F174" s="7" t="s">
        <v>3985</v>
      </c>
      <c r="G174" s="7" t="s">
        <v>2345</v>
      </c>
      <c r="H174" s="7" t="s">
        <v>75</v>
      </c>
      <c r="I174" s="7" t="s">
        <v>2284</v>
      </c>
      <c r="J174" s="209">
        <v>720000</v>
      </c>
      <c r="K174" s="209">
        <v>180000</v>
      </c>
      <c r="L174" s="209">
        <v>0</v>
      </c>
      <c r="M174" s="209">
        <v>900000</v>
      </c>
      <c r="N174" s="7" t="s">
        <v>4624</v>
      </c>
      <c r="O174" s="7" t="s">
        <v>124</v>
      </c>
    </row>
    <row r="175" spans="1:15" s="224" customFormat="1" ht="15" customHeight="1" x14ac:dyDescent="0.25">
      <c r="A175" s="7" t="s">
        <v>367</v>
      </c>
      <c r="B175" s="7" t="s">
        <v>90</v>
      </c>
      <c r="C175" s="7" t="s">
        <v>4614</v>
      </c>
      <c r="D175" s="7" t="s">
        <v>343</v>
      </c>
      <c r="E175" s="7" t="s">
        <v>979</v>
      </c>
      <c r="F175" s="7" t="s">
        <v>3939</v>
      </c>
      <c r="G175" s="7" t="s">
        <v>177</v>
      </c>
      <c r="H175" s="7" t="s">
        <v>178</v>
      </c>
      <c r="I175" s="7" t="s">
        <v>2284</v>
      </c>
      <c r="J175" s="209">
        <v>131585</v>
      </c>
      <c r="K175" s="209">
        <v>32896.200000000004</v>
      </c>
      <c r="L175" s="209">
        <v>0</v>
      </c>
      <c r="M175" s="209">
        <v>165230</v>
      </c>
      <c r="N175" s="7" t="s">
        <v>4624</v>
      </c>
      <c r="O175" s="7" t="s">
        <v>124</v>
      </c>
    </row>
    <row r="176" spans="1:15" s="224" customFormat="1" ht="15" customHeight="1" x14ac:dyDescent="0.25">
      <c r="A176" s="223" t="s">
        <v>367</v>
      </c>
      <c r="B176" s="224" t="s">
        <v>90</v>
      </c>
      <c r="C176" s="224" t="s">
        <v>4614</v>
      </c>
      <c r="D176" s="225" t="s">
        <v>343</v>
      </c>
      <c r="E176" s="224" t="s">
        <v>329</v>
      </c>
      <c r="F176" s="224" t="s">
        <v>368</v>
      </c>
      <c r="G176" s="224" t="s">
        <v>73</v>
      </c>
      <c r="H176" s="224" t="s">
        <v>245</v>
      </c>
      <c r="I176" s="224" t="s">
        <v>224</v>
      </c>
      <c r="J176" s="226"/>
      <c r="K176" s="226"/>
      <c r="L176" s="226">
        <v>168183.5</v>
      </c>
      <c r="M176" s="226">
        <v>168183.5</v>
      </c>
      <c r="N176" s="224" t="s">
        <v>4624</v>
      </c>
      <c r="O176" s="224" t="s">
        <v>124</v>
      </c>
    </row>
    <row r="177" spans="1:15" s="224" customFormat="1" ht="15" customHeight="1" x14ac:dyDescent="0.25">
      <c r="A177" s="7" t="s">
        <v>4353</v>
      </c>
      <c r="B177" s="7" t="s">
        <v>90</v>
      </c>
      <c r="C177" s="7" t="s">
        <v>4614</v>
      </c>
      <c r="D177" s="7" t="s">
        <v>360</v>
      </c>
      <c r="E177" s="7" t="s">
        <v>4352</v>
      </c>
      <c r="F177" s="7" t="s">
        <v>4351</v>
      </c>
      <c r="G177" s="7" t="s">
        <v>2345</v>
      </c>
      <c r="H177" s="7" t="s">
        <v>4355</v>
      </c>
      <c r="I177" s="7" t="s">
        <v>1276</v>
      </c>
      <c r="J177" s="209">
        <v>2160000</v>
      </c>
      <c r="K177" s="209">
        <v>252000</v>
      </c>
      <c r="L177" s="209">
        <v>108000</v>
      </c>
      <c r="M177" s="209">
        <v>2520000</v>
      </c>
      <c r="N177" s="7" t="s">
        <v>624</v>
      </c>
      <c r="O177" s="7" t="s">
        <v>124</v>
      </c>
    </row>
    <row r="178" spans="1:15" s="224" customFormat="1" ht="15" customHeight="1" x14ac:dyDescent="0.25">
      <c r="A178" s="7" t="s">
        <v>4353</v>
      </c>
      <c r="B178" s="7" t="s">
        <v>90</v>
      </c>
      <c r="C178" s="7" t="s">
        <v>4614</v>
      </c>
      <c r="D178" s="7" t="s">
        <v>360</v>
      </c>
      <c r="E178" s="7" t="s">
        <v>4352</v>
      </c>
      <c r="F178" s="7" t="s">
        <v>4351</v>
      </c>
      <c r="G178" s="7" t="s">
        <v>177</v>
      </c>
      <c r="H178" s="7" t="s">
        <v>178</v>
      </c>
      <c r="I178" s="7" t="s">
        <v>1276</v>
      </c>
      <c r="J178" s="209">
        <v>252000</v>
      </c>
      <c r="K178" s="209">
        <v>28000</v>
      </c>
      <c r="L178" s="209">
        <v>0</v>
      </c>
      <c r="M178" s="209">
        <v>280000</v>
      </c>
      <c r="N178" s="7" t="s">
        <v>624</v>
      </c>
      <c r="O178" s="7" t="s">
        <v>124</v>
      </c>
    </row>
    <row r="179" spans="1:15" s="224" customFormat="1" ht="15" customHeight="1" x14ac:dyDescent="0.25">
      <c r="A179" s="187" t="s">
        <v>753</v>
      </c>
      <c r="B179" s="61" t="s">
        <v>18</v>
      </c>
      <c r="C179" s="7" t="s">
        <v>4614</v>
      </c>
      <c r="D179" s="199" t="s">
        <v>932</v>
      </c>
      <c r="E179" s="199" t="s">
        <v>997</v>
      </c>
      <c r="F179" s="199" t="s">
        <v>1105</v>
      </c>
      <c r="G179" s="7" t="s">
        <v>2345</v>
      </c>
      <c r="H179" s="199" t="s">
        <v>1213</v>
      </c>
      <c r="I179" s="199" t="s">
        <v>2781</v>
      </c>
      <c r="J179" s="235">
        <v>278728</v>
      </c>
      <c r="K179" s="211">
        <v>69682</v>
      </c>
      <c r="L179" s="211">
        <v>0</v>
      </c>
      <c r="M179" s="235">
        <v>348410</v>
      </c>
      <c r="N179" s="61" t="s">
        <v>4616</v>
      </c>
      <c r="O179" s="61" t="s">
        <v>126</v>
      </c>
    </row>
    <row r="180" spans="1:15" s="224" customFormat="1" ht="15" customHeight="1" x14ac:dyDescent="0.25">
      <c r="A180" s="187" t="s">
        <v>753</v>
      </c>
      <c r="B180" s="61" t="s">
        <v>18</v>
      </c>
      <c r="C180" s="7" t="s">
        <v>4614</v>
      </c>
      <c r="D180" s="199" t="s">
        <v>932</v>
      </c>
      <c r="E180" s="199" t="s">
        <v>997</v>
      </c>
      <c r="F180" s="199" t="s">
        <v>1105</v>
      </c>
      <c r="G180" s="7" t="s">
        <v>2345</v>
      </c>
      <c r="H180" s="199" t="s">
        <v>1213</v>
      </c>
      <c r="I180" s="199" t="s">
        <v>2781</v>
      </c>
      <c r="J180" s="235">
        <v>291512</v>
      </c>
      <c r="K180" s="211">
        <v>72878</v>
      </c>
      <c r="L180" s="211">
        <v>0</v>
      </c>
      <c r="M180" s="235">
        <v>364390</v>
      </c>
      <c r="N180" s="61" t="s">
        <v>4616</v>
      </c>
      <c r="O180" s="61" t="s">
        <v>126</v>
      </c>
    </row>
    <row r="181" spans="1:15" s="224" customFormat="1" ht="15" customHeight="1" x14ac:dyDescent="0.25">
      <c r="A181" s="187" t="s">
        <v>753</v>
      </c>
      <c r="B181" s="61" t="s">
        <v>18</v>
      </c>
      <c r="C181" s="7" t="s">
        <v>4614</v>
      </c>
      <c r="D181" s="199" t="s">
        <v>932</v>
      </c>
      <c r="E181" s="199" t="s">
        <v>997</v>
      </c>
      <c r="F181" s="199" t="s">
        <v>1105</v>
      </c>
      <c r="G181" s="7" t="s">
        <v>2345</v>
      </c>
      <c r="H181" s="199" t="s">
        <v>1213</v>
      </c>
      <c r="I181" s="199" t="s">
        <v>2581</v>
      </c>
      <c r="J181" s="235">
        <v>56638</v>
      </c>
      <c r="K181" s="211">
        <v>14160</v>
      </c>
      <c r="L181" s="211">
        <v>0</v>
      </c>
      <c r="M181" s="235">
        <v>70798</v>
      </c>
      <c r="N181" s="61" t="s">
        <v>4616</v>
      </c>
      <c r="O181" s="61" t="s">
        <v>126</v>
      </c>
    </row>
    <row r="182" spans="1:15" s="224" customFormat="1" ht="15" customHeight="1" x14ac:dyDescent="0.25">
      <c r="A182" s="187" t="s">
        <v>823</v>
      </c>
      <c r="B182" s="61" t="s">
        <v>90</v>
      </c>
      <c r="C182" s="7" t="s">
        <v>4614</v>
      </c>
      <c r="D182" s="199" t="s">
        <v>351</v>
      </c>
      <c r="E182" s="199" t="s">
        <v>1051</v>
      </c>
      <c r="F182" s="199" t="s">
        <v>1162</v>
      </c>
      <c r="G182" s="7" t="s">
        <v>2345</v>
      </c>
      <c r="H182" s="7" t="s">
        <v>1199</v>
      </c>
      <c r="I182" s="199" t="s">
        <v>1276</v>
      </c>
      <c r="J182" s="235">
        <v>395507.75</v>
      </c>
      <c r="K182" s="211">
        <v>263672.25</v>
      </c>
      <c r="L182" s="211">
        <v>0</v>
      </c>
      <c r="M182" s="235">
        <v>659180</v>
      </c>
      <c r="N182" s="61" t="s">
        <v>4620</v>
      </c>
      <c r="O182" s="61" t="s">
        <v>124</v>
      </c>
    </row>
    <row r="183" spans="1:15" s="224" customFormat="1" ht="15" customHeight="1" x14ac:dyDescent="0.25">
      <c r="A183" s="223" t="s">
        <v>369</v>
      </c>
      <c r="B183" s="224" t="s">
        <v>90</v>
      </c>
      <c r="C183" s="224" t="s">
        <v>4614</v>
      </c>
      <c r="D183" s="225" t="s">
        <v>370</v>
      </c>
      <c r="E183" s="224" t="s">
        <v>365</v>
      </c>
      <c r="F183" s="224" t="s">
        <v>371</v>
      </c>
      <c r="G183" s="224" t="s">
        <v>73</v>
      </c>
      <c r="H183" s="224" t="s">
        <v>245</v>
      </c>
      <c r="I183" s="224" t="s">
        <v>224</v>
      </c>
      <c r="J183" s="226"/>
      <c r="K183" s="226"/>
      <c r="L183" s="226">
        <v>343632.49</v>
      </c>
      <c r="M183" s="226">
        <v>343632.49</v>
      </c>
      <c r="N183" s="224" t="s">
        <v>4624</v>
      </c>
      <c r="O183" s="224" t="s">
        <v>124</v>
      </c>
    </row>
    <row r="184" spans="1:15" s="224" customFormat="1" ht="15" customHeight="1" x14ac:dyDescent="0.25">
      <c r="A184" s="223" t="s">
        <v>369</v>
      </c>
      <c r="B184" s="224" t="s">
        <v>90</v>
      </c>
      <c r="C184" s="224" t="s">
        <v>4614</v>
      </c>
      <c r="D184" s="225" t="s">
        <v>370</v>
      </c>
      <c r="E184" s="224" t="s">
        <v>365</v>
      </c>
      <c r="F184" s="224" t="s">
        <v>371</v>
      </c>
      <c r="G184" s="224" t="s">
        <v>212</v>
      </c>
      <c r="H184" s="224" t="s">
        <v>213</v>
      </c>
      <c r="I184" s="224" t="s">
        <v>224</v>
      </c>
      <c r="J184" s="226"/>
      <c r="K184" s="226"/>
      <c r="L184" s="226">
        <v>189108</v>
      </c>
      <c r="M184" s="226">
        <v>189108</v>
      </c>
      <c r="N184" s="224" t="s">
        <v>4624</v>
      </c>
      <c r="O184" s="224" t="s">
        <v>124</v>
      </c>
    </row>
    <row r="185" spans="1:15" s="224" customFormat="1" ht="15" customHeight="1" x14ac:dyDescent="0.25">
      <c r="A185" s="187" t="s">
        <v>790</v>
      </c>
      <c r="B185" s="61" t="s">
        <v>18</v>
      </c>
      <c r="C185" s="7" t="s">
        <v>4614</v>
      </c>
      <c r="D185" s="199" t="s">
        <v>946</v>
      </c>
      <c r="E185" s="199" t="s">
        <v>1024</v>
      </c>
      <c r="F185" s="199" t="s">
        <v>1134</v>
      </c>
      <c r="G185" s="7" t="s">
        <v>2345</v>
      </c>
      <c r="H185" s="8" t="s">
        <v>78</v>
      </c>
      <c r="I185" s="199" t="s">
        <v>2581</v>
      </c>
      <c r="J185" s="235">
        <v>262421</v>
      </c>
      <c r="K185" s="211">
        <v>112466</v>
      </c>
      <c r="L185" s="211">
        <v>0</v>
      </c>
      <c r="M185" s="235">
        <v>374887</v>
      </c>
      <c r="N185" s="61" t="s">
        <v>225</v>
      </c>
      <c r="O185" s="61" t="s">
        <v>125</v>
      </c>
    </row>
    <row r="186" spans="1:15" s="224" customFormat="1" ht="15" customHeight="1" x14ac:dyDescent="0.25">
      <c r="A186" s="7" t="s">
        <v>4524</v>
      </c>
      <c r="B186" s="7" t="s">
        <v>18</v>
      </c>
      <c r="C186" s="7" t="s">
        <v>4614</v>
      </c>
      <c r="D186" s="7" t="s">
        <v>351</v>
      </c>
      <c r="E186" s="7" t="s">
        <v>41</v>
      </c>
      <c r="F186" s="7" t="s">
        <v>4523</v>
      </c>
      <c r="G186" s="7" t="s">
        <v>2345</v>
      </c>
      <c r="H186" s="221" t="s">
        <v>714</v>
      </c>
      <c r="I186" s="7" t="s">
        <v>2781</v>
      </c>
      <c r="J186" s="209">
        <v>147560</v>
      </c>
      <c r="K186" s="209">
        <v>36890</v>
      </c>
      <c r="L186" s="209">
        <v>0</v>
      </c>
      <c r="M186" s="209">
        <v>184450</v>
      </c>
      <c r="N186" s="7" t="s">
        <v>624</v>
      </c>
      <c r="O186" s="7" t="s">
        <v>124</v>
      </c>
    </row>
    <row r="187" spans="1:15" s="224" customFormat="1" ht="15" customHeight="1" x14ac:dyDescent="0.25">
      <c r="A187" s="7" t="s">
        <v>1947</v>
      </c>
      <c r="B187" s="7" t="s">
        <v>18</v>
      </c>
      <c r="C187" s="7" t="s">
        <v>4614</v>
      </c>
      <c r="D187" s="7" t="s">
        <v>91</v>
      </c>
      <c r="E187" s="7" t="s">
        <v>1949</v>
      </c>
      <c r="F187" s="7" t="s">
        <v>4312</v>
      </c>
      <c r="G187" s="8" t="s">
        <v>73</v>
      </c>
      <c r="H187" s="7" t="s">
        <v>245</v>
      </c>
      <c r="I187" s="7" t="s">
        <v>2284</v>
      </c>
      <c r="J187" s="209">
        <v>80000</v>
      </c>
      <c r="K187" s="209">
        <v>23000</v>
      </c>
      <c r="L187" s="209">
        <v>12000</v>
      </c>
      <c r="M187" s="209">
        <v>115000</v>
      </c>
      <c r="N187" s="7" t="s">
        <v>4624</v>
      </c>
      <c r="O187" s="7" t="s">
        <v>124</v>
      </c>
    </row>
    <row r="188" spans="1:15" s="224" customFormat="1" ht="15" customHeight="1" x14ac:dyDescent="0.25">
      <c r="A188" s="7" t="s">
        <v>4486</v>
      </c>
      <c r="B188" s="7" t="s">
        <v>18</v>
      </c>
      <c r="C188" s="7" t="s">
        <v>4614</v>
      </c>
      <c r="D188" s="7" t="s">
        <v>4485</v>
      </c>
      <c r="E188" s="7" t="s">
        <v>4484</v>
      </c>
      <c r="F188" s="7" t="s">
        <v>4483</v>
      </c>
      <c r="G188" s="224" t="s">
        <v>212</v>
      </c>
      <c r="H188" s="7" t="s">
        <v>213</v>
      </c>
      <c r="I188" s="7" t="s">
        <v>2581</v>
      </c>
      <c r="J188" s="209">
        <v>149000</v>
      </c>
      <c r="K188" s="209">
        <v>61475.600000000006</v>
      </c>
      <c r="L188" s="209">
        <v>96902.399999999994</v>
      </c>
      <c r="M188" s="209">
        <v>307378</v>
      </c>
      <c r="N188" s="7" t="s">
        <v>4624</v>
      </c>
      <c r="O188" s="7" t="s">
        <v>124</v>
      </c>
    </row>
    <row r="189" spans="1:15" s="224" customFormat="1" ht="15" customHeight="1" x14ac:dyDescent="0.25">
      <c r="A189" s="187" t="s">
        <v>767</v>
      </c>
      <c r="B189" s="61" t="s">
        <v>18</v>
      </c>
      <c r="C189" s="7" t="s">
        <v>4614</v>
      </c>
      <c r="D189" s="199" t="s">
        <v>343</v>
      </c>
      <c r="E189" s="199" t="s">
        <v>1006</v>
      </c>
      <c r="F189" s="199" t="s">
        <v>1114</v>
      </c>
      <c r="G189" s="7" t="s">
        <v>2345</v>
      </c>
      <c r="H189" s="199" t="s">
        <v>1219</v>
      </c>
      <c r="I189" s="199" t="s">
        <v>2581</v>
      </c>
      <c r="J189" s="235">
        <v>190960</v>
      </c>
      <c r="K189" s="211">
        <v>47740</v>
      </c>
      <c r="L189" s="211">
        <v>0</v>
      </c>
      <c r="M189" s="235">
        <v>238700</v>
      </c>
      <c r="N189" s="61" t="s">
        <v>624</v>
      </c>
      <c r="O189" s="61" t="s">
        <v>125</v>
      </c>
    </row>
    <row r="190" spans="1:15" s="224" customFormat="1" ht="15" customHeight="1" x14ac:dyDescent="0.25">
      <c r="A190" s="7" t="s">
        <v>4465</v>
      </c>
      <c r="B190" s="7" t="s">
        <v>18</v>
      </c>
      <c r="C190" s="7" t="s">
        <v>4614</v>
      </c>
      <c r="D190" s="7" t="s">
        <v>4464</v>
      </c>
      <c r="E190" s="7" t="s">
        <v>1051</v>
      </c>
      <c r="F190" s="7" t="s">
        <v>457</v>
      </c>
      <c r="G190" s="224" t="s">
        <v>212</v>
      </c>
      <c r="H190" s="7" t="s">
        <v>213</v>
      </c>
      <c r="I190" s="7" t="s">
        <v>2581</v>
      </c>
      <c r="J190" s="209">
        <v>185371</v>
      </c>
      <c r="K190" s="209">
        <v>74148.400000000009</v>
      </c>
      <c r="L190" s="209">
        <v>111222.59999999998</v>
      </c>
      <c r="M190" s="209">
        <v>370742</v>
      </c>
      <c r="N190" s="7" t="s">
        <v>387</v>
      </c>
      <c r="O190" s="7" t="s">
        <v>124</v>
      </c>
    </row>
    <row r="191" spans="1:15" s="224" customFormat="1" ht="15" customHeight="1" x14ac:dyDescent="0.25">
      <c r="A191" s="7" t="s">
        <v>4465</v>
      </c>
      <c r="B191" s="7" t="s">
        <v>18</v>
      </c>
      <c r="C191" s="7" t="s">
        <v>4614</v>
      </c>
      <c r="D191" s="7" t="s">
        <v>4464</v>
      </c>
      <c r="E191" s="7" t="s">
        <v>1051</v>
      </c>
      <c r="F191" s="7" t="s">
        <v>457</v>
      </c>
      <c r="G191" s="8" t="s">
        <v>73</v>
      </c>
      <c r="H191" s="7" t="s">
        <v>245</v>
      </c>
      <c r="I191" s="7" t="s">
        <v>2581</v>
      </c>
      <c r="J191" s="209">
        <v>913000</v>
      </c>
      <c r="K191" s="209">
        <v>913000</v>
      </c>
      <c r="L191" s="209">
        <v>0</v>
      </c>
      <c r="M191" s="209">
        <v>1826000</v>
      </c>
      <c r="N191" s="7" t="s">
        <v>4624</v>
      </c>
      <c r="O191" s="7" t="s">
        <v>124</v>
      </c>
    </row>
    <row r="192" spans="1:15" s="224" customFormat="1" ht="15" customHeight="1" x14ac:dyDescent="0.25">
      <c r="A192" s="7" t="s">
        <v>2920</v>
      </c>
      <c r="B192" s="7" t="s">
        <v>18</v>
      </c>
      <c r="C192" s="7" t="s">
        <v>4614</v>
      </c>
      <c r="D192" s="7" t="s">
        <v>915</v>
      </c>
      <c r="E192" s="7" t="s">
        <v>2919</v>
      </c>
      <c r="F192" s="7" t="s">
        <v>4309</v>
      </c>
      <c r="G192" s="224" t="s">
        <v>212</v>
      </c>
      <c r="H192" s="7" t="s">
        <v>213</v>
      </c>
      <c r="I192" s="7" t="s">
        <v>2581</v>
      </c>
      <c r="J192" s="209">
        <v>267150</v>
      </c>
      <c r="K192" s="209">
        <v>267150</v>
      </c>
      <c r="L192" s="209">
        <v>0</v>
      </c>
      <c r="M192" s="209">
        <v>534300</v>
      </c>
      <c r="N192" s="7" t="s">
        <v>79</v>
      </c>
      <c r="O192" s="7" t="s">
        <v>124</v>
      </c>
    </row>
    <row r="193" spans="1:15" s="224" customFormat="1" ht="15" customHeight="1" x14ac:dyDescent="0.25">
      <c r="A193" s="7" t="s">
        <v>2920</v>
      </c>
      <c r="B193" s="7" t="s">
        <v>18</v>
      </c>
      <c r="C193" s="7" t="s">
        <v>4614</v>
      </c>
      <c r="D193" s="7" t="s">
        <v>915</v>
      </c>
      <c r="E193" s="7" t="s">
        <v>2919</v>
      </c>
      <c r="F193" s="7" t="s">
        <v>2918</v>
      </c>
      <c r="G193" s="224" t="s">
        <v>212</v>
      </c>
      <c r="H193" s="7" t="s">
        <v>213</v>
      </c>
      <c r="I193" s="7" t="s">
        <v>2581</v>
      </c>
      <c r="J193" s="209">
        <v>263401</v>
      </c>
      <c r="K193" s="209">
        <v>263401</v>
      </c>
      <c r="L193" s="209">
        <v>0</v>
      </c>
      <c r="M193" s="209">
        <v>526802</v>
      </c>
      <c r="N193" s="7" t="s">
        <v>79</v>
      </c>
      <c r="O193" s="7" t="s">
        <v>124</v>
      </c>
    </row>
    <row r="194" spans="1:15" s="224" customFormat="1" ht="15" customHeight="1" x14ac:dyDescent="0.25">
      <c r="A194" s="7" t="s">
        <v>4139</v>
      </c>
      <c r="B194" s="7" t="s">
        <v>18</v>
      </c>
      <c r="C194" s="7" t="s">
        <v>4614</v>
      </c>
      <c r="D194" s="7" t="s">
        <v>343</v>
      </c>
      <c r="E194" s="7" t="s">
        <v>979</v>
      </c>
      <c r="F194" s="7" t="s">
        <v>4138</v>
      </c>
      <c r="G194" s="7" t="s">
        <v>177</v>
      </c>
      <c r="H194" s="7" t="s">
        <v>178</v>
      </c>
      <c r="I194" s="7" t="s">
        <v>2581</v>
      </c>
      <c r="J194" s="209">
        <v>168480</v>
      </c>
      <c r="K194" s="209">
        <v>42120.200000000004</v>
      </c>
      <c r="L194" s="209">
        <v>0</v>
      </c>
      <c r="M194" s="209">
        <v>210601</v>
      </c>
      <c r="N194" s="7" t="s">
        <v>4624</v>
      </c>
      <c r="O194" s="7" t="s">
        <v>124</v>
      </c>
    </row>
    <row r="195" spans="1:15" s="224" customFormat="1" ht="15" customHeight="1" x14ac:dyDescent="0.25">
      <c r="A195" s="7" t="s">
        <v>4139</v>
      </c>
      <c r="B195" s="7" t="s">
        <v>18</v>
      </c>
      <c r="C195" s="7" t="s">
        <v>4614</v>
      </c>
      <c r="D195" s="7" t="s">
        <v>343</v>
      </c>
      <c r="E195" s="7" t="s">
        <v>979</v>
      </c>
      <c r="F195" s="7" t="s">
        <v>4138</v>
      </c>
      <c r="G195" s="7" t="s">
        <v>2345</v>
      </c>
      <c r="H195" s="7" t="s">
        <v>123</v>
      </c>
      <c r="I195" s="7" t="s">
        <v>2581</v>
      </c>
      <c r="J195" s="209">
        <v>2096908</v>
      </c>
      <c r="K195" s="209">
        <v>524227</v>
      </c>
      <c r="L195" s="209">
        <v>0</v>
      </c>
      <c r="M195" s="209">
        <v>2621135</v>
      </c>
      <c r="N195" s="7" t="s">
        <v>4624</v>
      </c>
      <c r="O195" s="7" t="s">
        <v>124</v>
      </c>
    </row>
    <row r="196" spans="1:15" s="224" customFormat="1" ht="15" customHeight="1" x14ac:dyDescent="0.25">
      <c r="A196" s="7" t="s">
        <v>2832</v>
      </c>
      <c r="B196" s="7" t="s">
        <v>18</v>
      </c>
      <c r="C196" s="7" t="s">
        <v>4614</v>
      </c>
      <c r="D196" s="7" t="s">
        <v>915</v>
      </c>
      <c r="E196" s="7" t="s">
        <v>41</v>
      </c>
      <c r="F196" s="7" t="s">
        <v>2830</v>
      </c>
      <c r="G196" s="7" t="s">
        <v>2345</v>
      </c>
      <c r="H196" s="7" t="s">
        <v>4723</v>
      </c>
      <c r="I196" s="7" t="s">
        <v>2581</v>
      </c>
      <c r="J196" s="209">
        <v>1720000</v>
      </c>
      <c r="K196" s="209">
        <v>430000</v>
      </c>
      <c r="L196" s="209">
        <v>17670</v>
      </c>
      <c r="M196" s="209">
        <v>2167670</v>
      </c>
      <c r="N196" s="7" t="s">
        <v>4616</v>
      </c>
      <c r="O196" s="7" t="s">
        <v>124</v>
      </c>
    </row>
    <row r="197" spans="1:15" s="224" customFormat="1" ht="15" customHeight="1" x14ac:dyDescent="0.25">
      <c r="A197" s="7" t="s">
        <v>2832</v>
      </c>
      <c r="B197" s="7" t="s">
        <v>18</v>
      </c>
      <c r="C197" s="7" t="s">
        <v>4614</v>
      </c>
      <c r="D197" s="7" t="s">
        <v>915</v>
      </c>
      <c r="E197" s="7" t="s">
        <v>41</v>
      </c>
      <c r="F197" s="7" t="s">
        <v>2830</v>
      </c>
      <c r="G197" s="7" t="s">
        <v>177</v>
      </c>
      <c r="H197" s="7" t="s">
        <v>178</v>
      </c>
      <c r="I197" s="7" t="s">
        <v>2581</v>
      </c>
      <c r="J197" s="209">
        <v>190400</v>
      </c>
      <c r="K197" s="209">
        <v>47600</v>
      </c>
      <c r="L197" s="209">
        <v>0</v>
      </c>
      <c r="M197" s="209">
        <v>238000</v>
      </c>
      <c r="N197" s="7" t="s">
        <v>4616</v>
      </c>
      <c r="O197" s="7" t="s">
        <v>124</v>
      </c>
    </row>
    <row r="198" spans="1:15" s="224" customFormat="1" ht="15" customHeight="1" x14ac:dyDescent="0.25">
      <c r="A198" s="7" t="s">
        <v>4303</v>
      </c>
      <c r="B198" s="7" t="s">
        <v>18</v>
      </c>
      <c r="C198" s="7" t="s">
        <v>4614</v>
      </c>
      <c r="D198" s="7" t="s">
        <v>915</v>
      </c>
      <c r="E198" s="7" t="s">
        <v>4302</v>
      </c>
      <c r="F198" s="7" t="s">
        <v>4301</v>
      </c>
      <c r="G198" s="224" t="s">
        <v>212</v>
      </c>
      <c r="H198" s="7" t="s">
        <v>213</v>
      </c>
      <c r="I198" s="7" t="s">
        <v>2581</v>
      </c>
      <c r="J198" s="209">
        <v>253145</v>
      </c>
      <c r="K198" s="209">
        <v>101258</v>
      </c>
      <c r="L198" s="209">
        <v>151887</v>
      </c>
      <c r="M198" s="209">
        <v>506290</v>
      </c>
      <c r="N198" s="7" t="s">
        <v>79</v>
      </c>
      <c r="O198" s="7" t="s">
        <v>124</v>
      </c>
    </row>
    <row r="199" spans="1:15" s="224" customFormat="1" ht="15" customHeight="1" x14ac:dyDescent="0.25">
      <c r="A199" s="7" t="s">
        <v>4303</v>
      </c>
      <c r="B199" s="7" t="s">
        <v>18</v>
      </c>
      <c r="C199" s="7" t="s">
        <v>4614</v>
      </c>
      <c r="D199" s="7" t="s">
        <v>915</v>
      </c>
      <c r="E199" s="7" t="s">
        <v>4302</v>
      </c>
      <c r="F199" s="7" t="s">
        <v>4301</v>
      </c>
      <c r="G199" s="224" t="s">
        <v>212</v>
      </c>
      <c r="H199" s="7" t="s">
        <v>213</v>
      </c>
      <c r="I199" s="7" t="s">
        <v>2581</v>
      </c>
      <c r="J199" s="209">
        <v>324963</v>
      </c>
      <c r="K199" s="209">
        <v>324962.5</v>
      </c>
      <c r="L199" s="209">
        <v>0</v>
      </c>
      <c r="M199" s="209">
        <v>649925</v>
      </c>
      <c r="N199" s="7" t="s">
        <v>79</v>
      </c>
      <c r="O199" s="7" t="s">
        <v>124</v>
      </c>
    </row>
    <row r="200" spans="1:15" s="224" customFormat="1" ht="15" customHeight="1" x14ac:dyDescent="0.25">
      <c r="A200" s="187" t="s">
        <v>785</v>
      </c>
      <c r="B200" s="61" t="s">
        <v>18</v>
      </c>
      <c r="C200" s="7" t="s">
        <v>4614</v>
      </c>
      <c r="D200" s="199" t="s">
        <v>942</v>
      </c>
      <c r="E200" s="199" t="s">
        <v>1013</v>
      </c>
      <c r="F200" s="199" t="s">
        <v>1130</v>
      </c>
      <c r="G200" s="7" t="s">
        <v>2345</v>
      </c>
      <c r="H200" s="199" t="s">
        <v>1227</v>
      </c>
      <c r="I200" s="199" t="s">
        <v>1278</v>
      </c>
      <c r="J200" s="235">
        <v>39297</v>
      </c>
      <c r="K200" s="211">
        <v>9824</v>
      </c>
      <c r="L200" s="211">
        <v>0</v>
      </c>
      <c r="M200" s="235">
        <v>49121</v>
      </c>
      <c r="N200" s="61" t="s">
        <v>4616</v>
      </c>
      <c r="O200" s="61" t="s">
        <v>126</v>
      </c>
    </row>
    <row r="201" spans="1:15" s="224" customFormat="1" ht="15" customHeight="1" x14ac:dyDescent="0.25">
      <c r="A201" s="7" t="s">
        <v>3085</v>
      </c>
      <c r="B201" s="7" t="s">
        <v>18</v>
      </c>
      <c r="C201" s="7" t="s">
        <v>4614</v>
      </c>
      <c r="D201" s="7" t="s">
        <v>364</v>
      </c>
      <c r="E201" s="7" t="s">
        <v>361</v>
      </c>
      <c r="F201" s="7" t="s">
        <v>3084</v>
      </c>
      <c r="G201" s="224" t="s">
        <v>212</v>
      </c>
      <c r="H201" s="7" t="s">
        <v>213</v>
      </c>
      <c r="I201" s="7" t="s">
        <v>2581</v>
      </c>
      <c r="J201" s="209">
        <v>30000</v>
      </c>
      <c r="K201" s="209">
        <v>11436.6</v>
      </c>
      <c r="L201" s="209">
        <v>15746.400000000001</v>
      </c>
      <c r="M201" s="209">
        <v>57183</v>
      </c>
      <c r="N201" s="7" t="s">
        <v>4620</v>
      </c>
      <c r="O201" s="7" t="s">
        <v>124</v>
      </c>
    </row>
    <row r="202" spans="1:15" s="224" customFormat="1" ht="15" customHeight="1" x14ac:dyDescent="0.25">
      <c r="A202" s="7" t="s">
        <v>3085</v>
      </c>
      <c r="B202" s="7" t="s">
        <v>18</v>
      </c>
      <c r="C202" s="7" t="s">
        <v>4614</v>
      </c>
      <c r="D202" s="7" t="s">
        <v>364</v>
      </c>
      <c r="E202" s="7" t="s">
        <v>361</v>
      </c>
      <c r="F202" s="7" t="s">
        <v>3084</v>
      </c>
      <c r="G202" s="7" t="s">
        <v>177</v>
      </c>
      <c r="H202" s="7" t="s">
        <v>178</v>
      </c>
      <c r="I202" s="7" t="s">
        <v>2581</v>
      </c>
      <c r="J202" s="209">
        <v>40000</v>
      </c>
      <c r="K202" s="209">
        <v>10000</v>
      </c>
      <c r="L202" s="209">
        <v>0</v>
      </c>
      <c r="M202" s="209">
        <v>50000</v>
      </c>
      <c r="N202" s="7" t="s">
        <v>4624</v>
      </c>
      <c r="O202" s="7" t="s">
        <v>124</v>
      </c>
    </row>
    <row r="203" spans="1:15" s="224" customFormat="1" ht="15" customHeight="1" x14ac:dyDescent="0.25">
      <c r="A203" s="7" t="s">
        <v>3085</v>
      </c>
      <c r="B203" s="7" t="s">
        <v>18</v>
      </c>
      <c r="C203" s="7" t="s">
        <v>4614</v>
      </c>
      <c r="D203" s="7" t="s">
        <v>364</v>
      </c>
      <c r="E203" s="7" t="s">
        <v>361</v>
      </c>
      <c r="F203" s="7" t="s">
        <v>3084</v>
      </c>
      <c r="G203" s="7" t="s">
        <v>2345</v>
      </c>
      <c r="H203" s="7" t="s">
        <v>3083</v>
      </c>
      <c r="I203" s="7" t="s">
        <v>2581</v>
      </c>
      <c r="J203" s="209">
        <v>795233</v>
      </c>
      <c r="K203" s="209">
        <v>198808.6</v>
      </c>
      <c r="L203" s="209">
        <v>0</v>
      </c>
      <c r="M203" s="209">
        <v>994043</v>
      </c>
      <c r="N203" s="7" t="s">
        <v>4624</v>
      </c>
      <c r="O203" s="7" t="s">
        <v>124</v>
      </c>
    </row>
    <row r="204" spans="1:15" s="224" customFormat="1" ht="15" customHeight="1" x14ac:dyDescent="0.25">
      <c r="A204" s="7" t="s">
        <v>4588</v>
      </c>
      <c r="B204" s="7" t="s">
        <v>18</v>
      </c>
      <c r="C204" s="7" t="s">
        <v>4614</v>
      </c>
      <c r="D204" s="7" t="s">
        <v>946</v>
      </c>
      <c r="E204" s="7" t="s">
        <v>4587</v>
      </c>
      <c r="F204" s="7" t="s">
        <v>4586</v>
      </c>
      <c r="G204" s="7" t="s">
        <v>117</v>
      </c>
      <c r="H204" s="7" t="s">
        <v>119</v>
      </c>
      <c r="I204" s="7" t="s">
        <v>1277</v>
      </c>
      <c r="J204" s="209">
        <v>62330</v>
      </c>
      <c r="K204" s="209">
        <v>15582.400000000001</v>
      </c>
      <c r="L204" s="209">
        <v>0</v>
      </c>
      <c r="M204" s="209">
        <v>77912</v>
      </c>
      <c r="N204" s="7" t="s">
        <v>4625</v>
      </c>
      <c r="O204" s="7" t="s">
        <v>125</v>
      </c>
    </row>
    <row r="205" spans="1:15" s="224" customFormat="1" ht="15" customHeight="1" x14ac:dyDescent="0.25">
      <c r="A205" s="7" t="s">
        <v>3533</v>
      </c>
      <c r="B205" s="7" t="s">
        <v>18</v>
      </c>
      <c r="C205" s="7" t="s">
        <v>4614</v>
      </c>
      <c r="D205" s="7" t="s">
        <v>360</v>
      </c>
      <c r="E205" s="7" t="s">
        <v>3532</v>
      </c>
      <c r="F205" s="7" t="s">
        <v>3531</v>
      </c>
      <c r="G205" s="7" t="s">
        <v>2345</v>
      </c>
      <c r="H205" s="7" t="s">
        <v>74</v>
      </c>
      <c r="I205" s="7" t="s">
        <v>2581</v>
      </c>
      <c r="J205" s="209">
        <v>1219699</v>
      </c>
      <c r="K205" s="209">
        <v>304924.79999999999</v>
      </c>
      <c r="L205" s="209">
        <v>0</v>
      </c>
      <c r="M205" s="209">
        <v>1524624</v>
      </c>
      <c r="N205" s="7" t="s">
        <v>225</v>
      </c>
      <c r="O205" s="7" t="s">
        <v>125</v>
      </c>
    </row>
    <row r="206" spans="1:15" s="224" customFormat="1" ht="15" customHeight="1" x14ac:dyDescent="0.25">
      <c r="A206" s="7" t="s">
        <v>3533</v>
      </c>
      <c r="B206" s="7" t="s">
        <v>18</v>
      </c>
      <c r="C206" s="7" t="s">
        <v>4614</v>
      </c>
      <c r="D206" s="7" t="s">
        <v>360</v>
      </c>
      <c r="E206" s="7" t="s">
        <v>3532</v>
      </c>
      <c r="F206" s="7" t="s">
        <v>3531</v>
      </c>
      <c r="G206" s="7" t="s">
        <v>177</v>
      </c>
      <c r="H206" s="7" t="s">
        <v>178</v>
      </c>
      <c r="I206" s="7" t="s">
        <v>2581</v>
      </c>
      <c r="J206" s="209">
        <v>80000</v>
      </c>
      <c r="K206" s="209">
        <v>20000</v>
      </c>
      <c r="L206" s="209">
        <v>0</v>
      </c>
      <c r="M206" s="209">
        <v>100000</v>
      </c>
      <c r="N206" s="7" t="s">
        <v>225</v>
      </c>
      <c r="O206" s="7" t="s">
        <v>125</v>
      </c>
    </row>
    <row r="207" spans="1:15" s="224" customFormat="1" ht="15" customHeight="1" x14ac:dyDescent="0.25">
      <c r="A207" s="7" t="s">
        <v>3789</v>
      </c>
      <c r="B207" s="7" t="s">
        <v>18</v>
      </c>
      <c r="C207" s="7" t="s">
        <v>2613</v>
      </c>
      <c r="D207" s="7" t="s">
        <v>915</v>
      </c>
      <c r="E207" s="7" t="s">
        <v>3788</v>
      </c>
      <c r="F207" s="7" t="s">
        <v>3787</v>
      </c>
      <c r="G207" s="224" t="s">
        <v>212</v>
      </c>
      <c r="H207" s="7" t="s">
        <v>213</v>
      </c>
      <c r="I207" s="7" t="s">
        <v>2715</v>
      </c>
      <c r="J207" s="209">
        <v>78429</v>
      </c>
      <c r="K207" s="209">
        <v>19607.25</v>
      </c>
      <c r="L207" s="209">
        <v>0</v>
      </c>
      <c r="M207" s="209">
        <v>98036</v>
      </c>
      <c r="N207" s="7" t="s">
        <v>4616</v>
      </c>
      <c r="O207" s="7" t="s">
        <v>126</v>
      </c>
    </row>
    <row r="208" spans="1:15" s="224" customFormat="1" ht="15" customHeight="1" x14ac:dyDescent="0.25">
      <c r="A208" s="7" t="s">
        <v>4016</v>
      </c>
      <c r="B208" s="7" t="s">
        <v>18</v>
      </c>
      <c r="C208" s="7" t="s">
        <v>4614</v>
      </c>
      <c r="D208" s="7" t="s">
        <v>946</v>
      </c>
      <c r="E208" s="7" t="s">
        <v>4015</v>
      </c>
      <c r="F208" s="7" t="s">
        <v>4014</v>
      </c>
      <c r="G208" s="7" t="s">
        <v>2345</v>
      </c>
      <c r="H208" s="7" t="s">
        <v>74</v>
      </c>
      <c r="I208" s="7" t="s">
        <v>2581</v>
      </c>
      <c r="J208" s="209">
        <v>1544734</v>
      </c>
      <c r="K208" s="209">
        <v>386183.5</v>
      </c>
      <c r="L208" s="209">
        <v>30926.5</v>
      </c>
      <c r="M208" s="209">
        <v>1961844</v>
      </c>
      <c r="N208" s="7" t="s">
        <v>225</v>
      </c>
      <c r="O208" s="7" t="s">
        <v>125</v>
      </c>
    </row>
    <row r="209" spans="1:15" s="224" customFormat="1" ht="15" customHeight="1" x14ac:dyDescent="0.25">
      <c r="A209" s="7" t="s">
        <v>4016</v>
      </c>
      <c r="B209" s="7" t="s">
        <v>18</v>
      </c>
      <c r="C209" s="7" t="s">
        <v>4614</v>
      </c>
      <c r="D209" s="7" t="s">
        <v>946</v>
      </c>
      <c r="E209" s="7" t="s">
        <v>4015</v>
      </c>
      <c r="F209" s="7" t="s">
        <v>4014</v>
      </c>
      <c r="G209" s="7" t="s">
        <v>177</v>
      </c>
      <c r="H209" s="7" t="s">
        <v>178</v>
      </c>
      <c r="I209" s="7" t="s">
        <v>2581</v>
      </c>
      <c r="J209" s="209">
        <v>151292</v>
      </c>
      <c r="K209" s="209">
        <v>37823.200000000004</v>
      </c>
      <c r="L209" s="209">
        <v>0</v>
      </c>
      <c r="M209" s="209">
        <v>189116</v>
      </c>
      <c r="N209" s="7" t="s">
        <v>225</v>
      </c>
      <c r="O209" s="7" t="s">
        <v>125</v>
      </c>
    </row>
    <row r="210" spans="1:15" s="224" customFormat="1" ht="15" customHeight="1" x14ac:dyDescent="0.25">
      <c r="A210" s="7" t="s">
        <v>3664</v>
      </c>
      <c r="B210" s="7" t="s">
        <v>18</v>
      </c>
      <c r="C210" s="7" t="s">
        <v>4614</v>
      </c>
      <c r="D210" s="7" t="s">
        <v>351</v>
      </c>
      <c r="E210" s="7" t="s">
        <v>3663</v>
      </c>
      <c r="F210" s="7" t="s">
        <v>3662</v>
      </c>
      <c r="G210" s="7" t="s">
        <v>2345</v>
      </c>
      <c r="H210" s="7" t="s">
        <v>74</v>
      </c>
      <c r="I210" s="7" t="s">
        <v>2581</v>
      </c>
      <c r="J210" s="209">
        <v>713583</v>
      </c>
      <c r="K210" s="209">
        <v>178395.75</v>
      </c>
      <c r="L210" s="209">
        <v>0</v>
      </c>
      <c r="M210" s="209">
        <v>891979</v>
      </c>
      <c r="N210" s="7" t="s">
        <v>225</v>
      </c>
      <c r="O210" s="7" t="s">
        <v>125</v>
      </c>
    </row>
    <row r="211" spans="1:15" s="224" customFormat="1" ht="15" customHeight="1" x14ac:dyDescent="0.25">
      <c r="A211" s="7" t="s">
        <v>3664</v>
      </c>
      <c r="B211" s="7" t="s">
        <v>18</v>
      </c>
      <c r="C211" s="7" t="s">
        <v>4614</v>
      </c>
      <c r="D211" s="7" t="s">
        <v>351</v>
      </c>
      <c r="E211" s="7" t="s">
        <v>3663</v>
      </c>
      <c r="F211" s="7" t="s">
        <v>3662</v>
      </c>
      <c r="G211" s="7" t="s">
        <v>177</v>
      </c>
      <c r="H211" s="7" t="s">
        <v>178</v>
      </c>
      <c r="I211" s="7" t="s">
        <v>2581</v>
      </c>
      <c r="J211" s="209">
        <v>80640</v>
      </c>
      <c r="K211" s="209">
        <v>20160</v>
      </c>
      <c r="L211" s="209">
        <v>0</v>
      </c>
      <c r="M211" s="209">
        <v>100800</v>
      </c>
      <c r="N211" s="7" t="s">
        <v>225</v>
      </c>
      <c r="O211" s="7" t="s">
        <v>125</v>
      </c>
    </row>
    <row r="212" spans="1:15" s="224" customFormat="1" ht="15" customHeight="1" x14ac:dyDescent="0.25">
      <c r="A212" s="7" t="s">
        <v>4155</v>
      </c>
      <c r="B212" s="7" t="s">
        <v>18</v>
      </c>
      <c r="C212" s="7" t="s">
        <v>4614</v>
      </c>
      <c r="D212" s="7" t="s">
        <v>915</v>
      </c>
      <c r="E212" s="7" t="s">
        <v>4154</v>
      </c>
      <c r="F212" s="7" t="s">
        <v>4153</v>
      </c>
      <c r="G212" s="7" t="s">
        <v>2345</v>
      </c>
      <c r="H212" s="7" t="s">
        <v>74</v>
      </c>
      <c r="I212" s="7" t="s">
        <v>2581</v>
      </c>
      <c r="J212" s="209">
        <v>1780000</v>
      </c>
      <c r="K212" s="209">
        <v>445000</v>
      </c>
      <c r="L212" s="209">
        <v>0</v>
      </c>
      <c r="M212" s="209">
        <v>2225000</v>
      </c>
      <c r="N212" s="7" t="s">
        <v>225</v>
      </c>
      <c r="O212" s="7" t="s">
        <v>125</v>
      </c>
    </row>
    <row r="213" spans="1:15" s="224" customFormat="1" ht="15" customHeight="1" x14ac:dyDescent="0.25">
      <c r="A213" s="7" t="s">
        <v>4155</v>
      </c>
      <c r="B213" s="7" t="s">
        <v>18</v>
      </c>
      <c r="C213" s="7" t="s">
        <v>4614</v>
      </c>
      <c r="D213" s="7" t="s">
        <v>915</v>
      </c>
      <c r="E213" s="7" t="s">
        <v>4154</v>
      </c>
      <c r="F213" s="7" t="s">
        <v>4153</v>
      </c>
      <c r="G213" s="7" t="s">
        <v>177</v>
      </c>
      <c r="H213" s="7" t="s">
        <v>178</v>
      </c>
      <c r="I213" s="7" t="s">
        <v>2581</v>
      </c>
      <c r="J213" s="209">
        <v>220000</v>
      </c>
      <c r="K213" s="209">
        <v>55000</v>
      </c>
      <c r="L213" s="209">
        <v>0</v>
      </c>
      <c r="M213" s="209">
        <v>275000</v>
      </c>
      <c r="N213" s="7" t="s">
        <v>225</v>
      </c>
      <c r="O213" s="7" t="s">
        <v>125</v>
      </c>
    </row>
    <row r="214" spans="1:15" s="224" customFormat="1" ht="15" customHeight="1" x14ac:dyDescent="0.25">
      <c r="A214" s="7" t="s">
        <v>3014</v>
      </c>
      <c r="B214" s="7" t="s">
        <v>18</v>
      </c>
      <c r="C214" s="7" t="s">
        <v>4614</v>
      </c>
      <c r="D214" s="7" t="s">
        <v>915</v>
      </c>
      <c r="E214" s="7" t="s">
        <v>3013</v>
      </c>
      <c r="F214" s="7" t="s">
        <v>3012</v>
      </c>
      <c r="G214" s="224" t="s">
        <v>212</v>
      </c>
      <c r="H214" s="7" t="s">
        <v>213</v>
      </c>
      <c r="I214" s="7" t="s">
        <v>2581</v>
      </c>
      <c r="J214" s="209">
        <v>298465</v>
      </c>
      <c r="K214" s="209">
        <v>119386</v>
      </c>
      <c r="L214" s="209">
        <v>179079</v>
      </c>
      <c r="M214" s="209">
        <v>596930</v>
      </c>
      <c r="N214" s="7" t="s">
        <v>79</v>
      </c>
      <c r="O214" s="7" t="s">
        <v>124</v>
      </c>
    </row>
    <row r="215" spans="1:15" s="224" customFormat="1" ht="15" customHeight="1" x14ac:dyDescent="0.25">
      <c r="A215" s="7" t="s">
        <v>3639</v>
      </c>
      <c r="B215" s="7" t="s">
        <v>18</v>
      </c>
      <c r="C215" s="7" t="s">
        <v>4614</v>
      </c>
      <c r="D215" s="7" t="s">
        <v>3638</v>
      </c>
      <c r="E215" s="7" t="s">
        <v>3637</v>
      </c>
      <c r="F215" s="7" t="s">
        <v>3636</v>
      </c>
      <c r="G215" s="7" t="s">
        <v>2345</v>
      </c>
      <c r="H215" s="7" t="s">
        <v>74</v>
      </c>
      <c r="I215" s="7" t="s">
        <v>2581</v>
      </c>
      <c r="J215" s="209">
        <v>560000</v>
      </c>
      <c r="K215" s="209">
        <v>140000</v>
      </c>
      <c r="L215" s="209">
        <v>0</v>
      </c>
      <c r="M215" s="209">
        <v>700000</v>
      </c>
      <c r="N215" s="7" t="s">
        <v>225</v>
      </c>
      <c r="O215" s="7" t="s">
        <v>125</v>
      </c>
    </row>
    <row r="216" spans="1:15" s="224" customFormat="1" ht="15" customHeight="1" x14ac:dyDescent="0.25">
      <c r="A216" s="7" t="s">
        <v>3639</v>
      </c>
      <c r="B216" s="7" t="s">
        <v>18</v>
      </c>
      <c r="C216" s="7" t="s">
        <v>4614</v>
      </c>
      <c r="D216" s="7" t="s">
        <v>3638</v>
      </c>
      <c r="E216" s="7" t="s">
        <v>3637</v>
      </c>
      <c r="F216" s="7" t="s">
        <v>3636</v>
      </c>
      <c r="G216" s="7" t="s">
        <v>177</v>
      </c>
      <c r="H216" s="7" t="s">
        <v>178</v>
      </c>
      <c r="I216" s="7" t="s">
        <v>2581</v>
      </c>
      <c r="J216" s="209">
        <v>35200</v>
      </c>
      <c r="K216" s="209">
        <v>8800</v>
      </c>
      <c r="L216" s="209">
        <v>0</v>
      </c>
      <c r="M216" s="209">
        <v>44000</v>
      </c>
      <c r="N216" s="7" t="s">
        <v>225</v>
      </c>
      <c r="O216" s="7" t="s">
        <v>125</v>
      </c>
    </row>
    <row r="217" spans="1:15" s="224" customFormat="1" ht="15" customHeight="1" x14ac:dyDescent="0.25">
      <c r="A217" s="221" t="s">
        <v>372</v>
      </c>
      <c r="B217" s="221" t="s">
        <v>18</v>
      </c>
      <c r="C217" s="221" t="s">
        <v>648</v>
      </c>
      <c r="D217" s="221" t="s">
        <v>648</v>
      </c>
      <c r="E217" s="221" t="s">
        <v>665</v>
      </c>
      <c r="F217" s="221" t="s">
        <v>677</v>
      </c>
      <c r="G217" s="224" t="s">
        <v>2345</v>
      </c>
      <c r="H217" s="221" t="s">
        <v>78</v>
      </c>
      <c r="I217" s="221" t="s">
        <v>652</v>
      </c>
      <c r="J217" s="226"/>
      <c r="K217" s="226"/>
      <c r="L217" s="222">
        <v>27197286</v>
      </c>
      <c r="M217" s="222">
        <v>27197286</v>
      </c>
      <c r="N217" s="221" t="s">
        <v>79</v>
      </c>
      <c r="O217" s="221" t="s">
        <v>125</v>
      </c>
    </row>
    <row r="218" spans="1:15" s="224" customFormat="1" ht="15" customHeight="1" x14ac:dyDescent="0.25">
      <c r="A218" s="221" t="s">
        <v>372</v>
      </c>
      <c r="B218" s="221" t="s">
        <v>18</v>
      </c>
      <c r="C218" s="221" t="s">
        <v>648</v>
      </c>
      <c r="D218" s="221" t="s">
        <v>648</v>
      </c>
      <c r="E218" s="221" t="s">
        <v>665</v>
      </c>
      <c r="F218" s="221" t="s">
        <v>690</v>
      </c>
      <c r="G218" s="224" t="s">
        <v>2345</v>
      </c>
      <c r="H218" s="221" t="s">
        <v>691</v>
      </c>
      <c r="I218" s="221" t="s">
        <v>652</v>
      </c>
      <c r="J218" s="226"/>
      <c r="K218" s="226"/>
      <c r="L218" s="222">
        <v>25795282</v>
      </c>
      <c r="M218" s="222">
        <v>25795282</v>
      </c>
      <c r="N218" s="221" t="s">
        <v>79</v>
      </c>
      <c r="O218" s="221" t="s">
        <v>125</v>
      </c>
    </row>
    <row r="219" spans="1:15" s="224" customFormat="1" ht="15" customHeight="1" x14ac:dyDescent="0.25">
      <c r="A219" s="221" t="s">
        <v>372</v>
      </c>
      <c r="B219" s="221" t="s">
        <v>18</v>
      </c>
      <c r="C219" s="221" t="s">
        <v>648</v>
      </c>
      <c r="D219" s="221" t="s">
        <v>648</v>
      </c>
      <c r="E219" s="221" t="s">
        <v>665</v>
      </c>
      <c r="F219" s="221" t="s">
        <v>41</v>
      </c>
      <c r="G219" s="221" t="s">
        <v>2289</v>
      </c>
      <c r="H219" s="221" t="s">
        <v>676</v>
      </c>
      <c r="I219" s="221" t="s">
        <v>652</v>
      </c>
      <c r="J219" s="226"/>
      <c r="K219" s="226"/>
      <c r="L219" s="222">
        <v>3500000</v>
      </c>
      <c r="M219" s="222">
        <v>3500000</v>
      </c>
      <c r="N219" s="221" t="s">
        <v>79</v>
      </c>
      <c r="O219" s="221" t="s">
        <v>125</v>
      </c>
    </row>
    <row r="220" spans="1:15" s="224" customFormat="1" ht="15" customHeight="1" x14ac:dyDescent="0.25">
      <c r="A220" s="221" t="s">
        <v>372</v>
      </c>
      <c r="B220" s="221" t="s">
        <v>18</v>
      </c>
      <c r="C220" s="221" t="s">
        <v>648</v>
      </c>
      <c r="D220" s="221" t="s">
        <v>648</v>
      </c>
      <c r="E220" s="221" t="s">
        <v>665</v>
      </c>
      <c r="F220" s="221" t="s">
        <v>41</v>
      </c>
      <c r="G220" s="221" t="s">
        <v>2289</v>
      </c>
      <c r="H220" s="221" t="s">
        <v>676</v>
      </c>
      <c r="I220" s="221" t="s">
        <v>652</v>
      </c>
      <c r="J220" s="226"/>
      <c r="K220" s="226"/>
      <c r="L220" s="222">
        <v>3000000</v>
      </c>
      <c r="M220" s="222">
        <v>3000000</v>
      </c>
      <c r="N220" s="221" t="s">
        <v>79</v>
      </c>
      <c r="O220" s="221" t="s">
        <v>125</v>
      </c>
    </row>
    <row r="221" spans="1:15" s="224" customFormat="1" ht="15" customHeight="1" x14ac:dyDescent="0.25">
      <c r="A221" s="221" t="s">
        <v>372</v>
      </c>
      <c r="B221" s="221" t="s">
        <v>18</v>
      </c>
      <c r="C221" s="221" t="s">
        <v>648</v>
      </c>
      <c r="D221" s="221" t="s">
        <v>648</v>
      </c>
      <c r="E221" s="221" t="s">
        <v>665</v>
      </c>
      <c r="F221" s="221" t="s">
        <v>682</v>
      </c>
      <c r="G221" s="224" t="s">
        <v>2345</v>
      </c>
      <c r="H221" s="221" t="s">
        <v>683</v>
      </c>
      <c r="I221" s="221" t="s">
        <v>652</v>
      </c>
      <c r="J221" s="226"/>
      <c r="K221" s="226"/>
      <c r="L221" s="222">
        <v>1843770</v>
      </c>
      <c r="M221" s="222">
        <v>1843770</v>
      </c>
      <c r="N221" s="221" t="s">
        <v>4625</v>
      </c>
      <c r="O221" s="221" t="s">
        <v>125</v>
      </c>
    </row>
    <row r="222" spans="1:15" s="224" customFormat="1" ht="15" customHeight="1" x14ac:dyDescent="0.25">
      <c r="A222" s="221" t="s">
        <v>372</v>
      </c>
      <c r="B222" s="221" t="s">
        <v>18</v>
      </c>
      <c r="C222" s="221" t="s">
        <v>648</v>
      </c>
      <c r="D222" s="221" t="s">
        <v>648</v>
      </c>
      <c r="E222" s="221" t="s">
        <v>665</v>
      </c>
      <c r="F222" s="221" t="s">
        <v>679</v>
      </c>
      <c r="G222" s="221" t="s">
        <v>2289</v>
      </c>
      <c r="H222" s="221" t="s">
        <v>676</v>
      </c>
      <c r="I222" s="221" t="s">
        <v>652</v>
      </c>
      <c r="J222" s="226"/>
      <c r="K222" s="226"/>
      <c r="L222" s="222">
        <v>1679688</v>
      </c>
      <c r="M222" s="222">
        <v>1679688</v>
      </c>
      <c r="N222" s="221" t="s">
        <v>79</v>
      </c>
      <c r="O222" s="221" t="s">
        <v>125</v>
      </c>
    </row>
    <row r="223" spans="1:15" s="224" customFormat="1" ht="15" customHeight="1" x14ac:dyDescent="0.25">
      <c r="A223" s="7" t="s">
        <v>372</v>
      </c>
      <c r="B223" s="7" t="s">
        <v>90</v>
      </c>
      <c r="C223" s="7" t="s">
        <v>4614</v>
      </c>
      <c r="D223" s="7" t="s">
        <v>239</v>
      </c>
      <c r="E223" s="7" t="s">
        <v>3525</v>
      </c>
      <c r="F223" s="7" t="s">
        <v>3524</v>
      </c>
      <c r="G223" s="7" t="s">
        <v>2345</v>
      </c>
      <c r="H223" s="7" t="s">
        <v>3523</v>
      </c>
      <c r="I223" s="7" t="s">
        <v>2284</v>
      </c>
      <c r="J223" s="209">
        <v>8852000</v>
      </c>
      <c r="K223" s="209">
        <v>2213000</v>
      </c>
      <c r="L223" s="209">
        <v>0</v>
      </c>
      <c r="M223" s="209">
        <v>11065000</v>
      </c>
      <c r="N223" s="7" t="s">
        <v>4616</v>
      </c>
      <c r="O223" s="7" t="s">
        <v>126</v>
      </c>
    </row>
    <row r="224" spans="1:15" s="224" customFormat="1" ht="15" customHeight="1" x14ac:dyDescent="0.25">
      <c r="A224" s="7" t="s">
        <v>372</v>
      </c>
      <c r="B224" s="7" t="s">
        <v>90</v>
      </c>
      <c r="C224" s="7" t="s">
        <v>4614</v>
      </c>
      <c r="D224" s="7" t="s">
        <v>239</v>
      </c>
      <c r="E224" s="7" t="s">
        <v>3525</v>
      </c>
      <c r="F224" s="7" t="s">
        <v>3524</v>
      </c>
      <c r="G224" s="7" t="s">
        <v>2345</v>
      </c>
      <c r="H224" s="7" t="s">
        <v>1198</v>
      </c>
      <c r="I224" s="7" t="s">
        <v>1275</v>
      </c>
      <c r="J224" s="209">
        <v>3280000</v>
      </c>
      <c r="K224" s="209">
        <v>820000</v>
      </c>
      <c r="L224" s="209">
        <v>0</v>
      </c>
      <c r="M224" s="209">
        <v>4100000</v>
      </c>
      <c r="N224" s="7" t="s">
        <v>82</v>
      </c>
      <c r="O224" s="7" t="s">
        <v>126</v>
      </c>
    </row>
    <row r="225" spans="1:15" s="224" customFormat="1" ht="15" customHeight="1" x14ac:dyDescent="0.25">
      <c r="A225" s="7" t="s">
        <v>372</v>
      </c>
      <c r="B225" s="7" t="s">
        <v>90</v>
      </c>
      <c r="C225" s="7" t="s">
        <v>4614</v>
      </c>
      <c r="D225" s="7" t="s">
        <v>239</v>
      </c>
      <c r="E225" s="7" t="s">
        <v>3525</v>
      </c>
      <c r="F225" s="7" t="s">
        <v>3524</v>
      </c>
      <c r="G225" s="7" t="s">
        <v>177</v>
      </c>
      <c r="H225" s="7" t="s">
        <v>178</v>
      </c>
      <c r="I225" s="7" t="s">
        <v>1275</v>
      </c>
      <c r="J225" s="209">
        <v>1348000</v>
      </c>
      <c r="K225" s="209">
        <v>337000</v>
      </c>
      <c r="L225" s="209">
        <v>0</v>
      </c>
      <c r="M225" s="209">
        <v>1685000</v>
      </c>
      <c r="N225" s="7" t="s">
        <v>82</v>
      </c>
      <c r="O225" s="7" t="s">
        <v>126</v>
      </c>
    </row>
    <row r="226" spans="1:15" s="224" customFormat="1" ht="15" customHeight="1" x14ac:dyDescent="0.25">
      <c r="A226" s="223" t="s">
        <v>372</v>
      </c>
      <c r="B226" s="224" t="s">
        <v>90</v>
      </c>
      <c r="C226" s="224" t="s">
        <v>239</v>
      </c>
      <c r="D226" s="225" t="s">
        <v>239</v>
      </c>
      <c r="E226" s="224" t="s">
        <v>373</v>
      </c>
      <c r="F226" s="224" t="s">
        <v>374</v>
      </c>
      <c r="G226" s="224" t="s">
        <v>212</v>
      </c>
      <c r="H226" s="224" t="s">
        <v>213</v>
      </c>
      <c r="I226" s="224" t="s">
        <v>4757</v>
      </c>
      <c r="J226" s="226"/>
      <c r="K226" s="226"/>
      <c r="L226" s="226">
        <v>2717268</v>
      </c>
      <c r="M226" s="226">
        <v>2717268</v>
      </c>
      <c r="N226" s="224" t="s">
        <v>82</v>
      </c>
      <c r="O226" s="224" t="s">
        <v>214</v>
      </c>
    </row>
    <row r="227" spans="1:15" s="224" customFormat="1" ht="15" customHeight="1" x14ac:dyDescent="0.25">
      <c r="A227" s="221" t="s">
        <v>372</v>
      </c>
      <c r="B227" s="221" t="s">
        <v>18</v>
      </c>
      <c r="C227" s="221" t="s">
        <v>648</v>
      </c>
      <c r="D227" s="221" t="s">
        <v>648</v>
      </c>
      <c r="E227" s="221" t="s">
        <v>665</v>
      </c>
      <c r="F227" s="221" t="s">
        <v>666</v>
      </c>
      <c r="G227" s="224" t="s">
        <v>2345</v>
      </c>
      <c r="H227" s="221" t="s">
        <v>667</v>
      </c>
      <c r="I227" s="221" t="s">
        <v>652</v>
      </c>
      <c r="J227" s="226"/>
      <c r="K227" s="226"/>
      <c r="L227" s="222">
        <v>6503132.2800000003</v>
      </c>
      <c r="M227" s="222">
        <v>6503132.2800000003</v>
      </c>
      <c r="N227" s="221" t="s">
        <v>4625</v>
      </c>
      <c r="O227" s="221" t="s">
        <v>124</v>
      </c>
    </row>
    <row r="228" spans="1:15" s="224" customFormat="1" ht="15" customHeight="1" x14ac:dyDescent="0.25">
      <c r="A228" s="221" t="s">
        <v>372</v>
      </c>
      <c r="B228" s="221" t="s">
        <v>18</v>
      </c>
      <c r="C228" s="221" t="s">
        <v>648</v>
      </c>
      <c r="D228" s="221" t="s">
        <v>648</v>
      </c>
      <c r="E228" s="221" t="s">
        <v>665</v>
      </c>
      <c r="F228" s="221" t="s">
        <v>668</v>
      </c>
      <c r="G228" s="224" t="s">
        <v>2345</v>
      </c>
      <c r="H228" s="221" t="s">
        <v>651</v>
      </c>
      <c r="I228" s="221" t="s">
        <v>652</v>
      </c>
      <c r="J228" s="226"/>
      <c r="K228" s="226"/>
      <c r="L228" s="222">
        <v>9169227.9900000002</v>
      </c>
      <c r="M228" s="222">
        <v>9169227.9900000002</v>
      </c>
      <c r="N228" s="221" t="s">
        <v>4625</v>
      </c>
      <c r="O228" s="221" t="s">
        <v>124</v>
      </c>
    </row>
    <row r="229" spans="1:15" s="224" customFormat="1" ht="15" customHeight="1" x14ac:dyDescent="0.25">
      <c r="A229" s="221" t="s">
        <v>372</v>
      </c>
      <c r="B229" s="221" t="s">
        <v>18</v>
      </c>
      <c r="C229" s="221" t="s">
        <v>648</v>
      </c>
      <c r="D229" s="221" t="s">
        <v>648</v>
      </c>
      <c r="E229" s="221" t="s">
        <v>665</v>
      </c>
      <c r="F229" s="221" t="s">
        <v>680</v>
      </c>
      <c r="G229" s="224" t="s">
        <v>2345</v>
      </c>
      <c r="H229" s="221" t="s">
        <v>681</v>
      </c>
      <c r="I229" s="221" t="s">
        <v>652</v>
      </c>
      <c r="J229" s="226"/>
      <c r="K229" s="226"/>
      <c r="L229" s="222">
        <v>1580422</v>
      </c>
      <c r="M229" s="222">
        <v>1580422</v>
      </c>
      <c r="N229" s="221" t="s">
        <v>4621</v>
      </c>
      <c r="O229" s="221" t="s">
        <v>124</v>
      </c>
    </row>
    <row r="230" spans="1:15" s="224" customFormat="1" ht="15" customHeight="1" x14ac:dyDescent="0.25">
      <c r="A230" s="221" t="s">
        <v>372</v>
      </c>
      <c r="B230" s="221" t="s">
        <v>18</v>
      </c>
      <c r="C230" s="221" t="s">
        <v>648</v>
      </c>
      <c r="D230" s="221" t="s">
        <v>648</v>
      </c>
      <c r="E230" s="221" t="s">
        <v>665</v>
      </c>
      <c r="F230" s="221" t="s">
        <v>678</v>
      </c>
      <c r="G230" s="224" t="s">
        <v>2345</v>
      </c>
      <c r="H230" s="221" t="s">
        <v>4737</v>
      </c>
      <c r="I230" s="221" t="s">
        <v>652</v>
      </c>
      <c r="J230" s="226"/>
      <c r="K230" s="226"/>
      <c r="L230" s="222">
        <v>7057075</v>
      </c>
      <c r="M230" s="222">
        <v>7057075</v>
      </c>
      <c r="N230" s="224" t="s">
        <v>4616</v>
      </c>
      <c r="O230" s="221" t="s">
        <v>126</v>
      </c>
    </row>
    <row r="231" spans="1:15" s="224" customFormat="1" ht="15" customHeight="1" x14ac:dyDescent="0.25">
      <c r="A231" s="221" t="s">
        <v>372</v>
      </c>
      <c r="B231" s="221" t="s">
        <v>18</v>
      </c>
      <c r="C231" s="221" t="s">
        <v>648</v>
      </c>
      <c r="D231" s="221" t="s">
        <v>648</v>
      </c>
      <c r="E231" s="221" t="s">
        <v>665</v>
      </c>
      <c r="F231" s="221" t="s">
        <v>669</v>
      </c>
      <c r="G231" s="224" t="s">
        <v>2345</v>
      </c>
      <c r="H231" s="221" t="s">
        <v>670</v>
      </c>
      <c r="I231" s="221" t="s">
        <v>652</v>
      </c>
      <c r="J231" s="226"/>
      <c r="K231" s="226"/>
      <c r="L231" s="222">
        <v>39338028</v>
      </c>
      <c r="M231" s="222">
        <v>39338028</v>
      </c>
      <c r="N231" s="221" t="s">
        <v>4625</v>
      </c>
      <c r="O231" s="221" t="s">
        <v>124</v>
      </c>
    </row>
    <row r="232" spans="1:15" s="224" customFormat="1" ht="15" customHeight="1" x14ac:dyDescent="0.25">
      <c r="A232" s="221" t="s">
        <v>372</v>
      </c>
      <c r="B232" s="221" t="s">
        <v>18</v>
      </c>
      <c r="C232" s="221" t="s">
        <v>648</v>
      </c>
      <c r="D232" s="221" t="s">
        <v>648</v>
      </c>
      <c r="E232" s="221" t="s">
        <v>665</v>
      </c>
      <c r="F232" s="221" t="s">
        <v>671</v>
      </c>
      <c r="G232" s="224" t="s">
        <v>2345</v>
      </c>
      <c r="H232" s="221" t="s">
        <v>670</v>
      </c>
      <c r="I232" s="221" t="s">
        <v>652</v>
      </c>
      <c r="J232" s="226"/>
      <c r="K232" s="226"/>
      <c r="L232" s="222">
        <v>32112429</v>
      </c>
      <c r="M232" s="222">
        <v>32112429</v>
      </c>
      <c r="N232" s="221" t="s">
        <v>4625</v>
      </c>
      <c r="O232" s="221" t="s">
        <v>124</v>
      </c>
    </row>
    <row r="233" spans="1:15" s="224" customFormat="1" ht="15" customHeight="1" x14ac:dyDescent="0.25">
      <c r="A233" s="221" t="s">
        <v>372</v>
      </c>
      <c r="B233" s="221" t="s">
        <v>18</v>
      </c>
      <c r="C233" s="221" t="s">
        <v>648</v>
      </c>
      <c r="D233" s="221" t="s">
        <v>648</v>
      </c>
      <c r="E233" s="221" t="s">
        <v>665</v>
      </c>
      <c r="F233" s="221" t="s">
        <v>672</v>
      </c>
      <c r="G233" s="224" t="s">
        <v>2345</v>
      </c>
      <c r="H233" s="221" t="s">
        <v>670</v>
      </c>
      <c r="I233" s="221" t="s">
        <v>652</v>
      </c>
      <c r="J233" s="226"/>
      <c r="K233" s="226"/>
      <c r="L233" s="222">
        <v>58722802</v>
      </c>
      <c r="M233" s="222">
        <v>58722802</v>
      </c>
      <c r="N233" s="221" t="s">
        <v>4625</v>
      </c>
      <c r="O233" s="221" t="s">
        <v>124</v>
      </c>
    </row>
    <row r="234" spans="1:15" s="224" customFormat="1" ht="15" customHeight="1" x14ac:dyDescent="0.25">
      <c r="A234" s="221" t="s">
        <v>372</v>
      </c>
      <c r="B234" s="221" t="s">
        <v>18</v>
      </c>
      <c r="C234" s="221" t="s">
        <v>648</v>
      </c>
      <c r="D234" s="221" t="s">
        <v>648</v>
      </c>
      <c r="E234" s="221" t="s">
        <v>665</v>
      </c>
      <c r="F234" s="221" t="s">
        <v>673</v>
      </c>
      <c r="G234" s="224" t="s">
        <v>2345</v>
      </c>
      <c r="H234" s="221" t="s">
        <v>670</v>
      </c>
      <c r="I234" s="221" t="s">
        <v>652</v>
      </c>
      <c r="J234" s="226"/>
      <c r="K234" s="226"/>
      <c r="L234" s="222">
        <v>21105929</v>
      </c>
      <c r="M234" s="222">
        <v>21105929</v>
      </c>
      <c r="N234" s="221" t="s">
        <v>4625</v>
      </c>
      <c r="O234" s="221" t="s">
        <v>124</v>
      </c>
    </row>
    <row r="235" spans="1:15" s="224" customFormat="1" ht="15" customHeight="1" x14ac:dyDescent="0.25">
      <c r="A235" s="221" t="s">
        <v>372</v>
      </c>
      <c r="B235" s="221" t="s">
        <v>18</v>
      </c>
      <c r="C235" s="221" t="s">
        <v>648</v>
      </c>
      <c r="D235" s="221" t="s">
        <v>648</v>
      </c>
      <c r="E235" s="221" t="s">
        <v>665</v>
      </c>
      <c r="F235" s="221" t="s">
        <v>674</v>
      </c>
      <c r="G235" s="224" t="s">
        <v>2345</v>
      </c>
      <c r="H235" s="221" t="s">
        <v>670</v>
      </c>
      <c r="I235" s="221" t="s">
        <v>652</v>
      </c>
      <c r="J235" s="226"/>
      <c r="K235" s="226"/>
      <c r="L235" s="222">
        <v>30349821.73</v>
      </c>
      <c r="M235" s="222">
        <v>30349821.73</v>
      </c>
      <c r="N235" s="221" t="s">
        <v>4625</v>
      </c>
      <c r="O235" s="221" t="s">
        <v>124</v>
      </c>
    </row>
    <row r="236" spans="1:15" s="224" customFormat="1" ht="15" customHeight="1" x14ac:dyDescent="0.25">
      <c r="A236" s="221" t="s">
        <v>372</v>
      </c>
      <c r="B236" s="221" t="s">
        <v>18</v>
      </c>
      <c r="C236" s="221" t="s">
        <v>648</v>
      </c>
      <c r="D236" s="221" t="s">
        <v>648</v>
      </c>
      <c r="E236" s="221" t="s">
        <v>665</v>
      </c>
      <c r="F236" s="221" t="s">
        <v>675</v>
      </c>
      <c r="G236" s="224" t="s">
        <v>2345</v>
      </c>
      <c r="H236" s="221" t="s">
        <v>670</v>
      </c>
      <c r="I236" s="221" t="s">
        <v>652</v>
      </c>
      <c r="J236" s="226"/>
      <c r="K236" s="226"/>
      <c r="L236" s="222">
        <v>40990755</v>
      </c>
      <c r="M236" s="222">
        <v>40990755</v>
      </c>
      <c r="N236" s="221" t="s">
        <v>4625</v>
      </c>
      <c r="O236" s="221" t="s">
        <v>124</v>
      </c>
    </row>
    <row r="237" spans="1:15" s="224" customFormat="1" ht="15" customHeight="1" x14ac:dyDescent="0.25">
      <c r="A237" s="221" t="s">
        <v>4252</v>
      </c>
      <c r="B237" s="221" t="s">
        <v>18</v>
      </c>
      <c r="C237" s="221" t="s">
        <v>648</v>
      </c>
      <c r="D237" s="221" t="s">
        <v>648</v>
      </c>
      <c r="E237" s="221" t="s">
        <v>698</v>
      </c>
      <c r="F237" s="221" t="s">
        <v>704</v>
      </c>
      <c r="G237" s="221" t="s">
        <v>2289</v>
      </c>
      <c r="H237" s="221" t="s">
        <v>676</v>
      </c>
      <c r="I237" s="221" t="s">
        <v>652</v>
      </c>
      <c r="J237" s="226"/>
      <c r="K237" s="226"/>
      <c r="L237" s="222">
        <v>6340262</v>
      </c>
      <c r="M237" s="222">
        <v>6340262</v>
      </c>
      <c r="N237" s="221" t="s">
        <v>82</v>
      </c>
      <c r="O237" s="221" t="s">
        <v>125</v>
      </c>
    </row>
    <row r="238" spans="1:15" s="224" customFormat="1" ht="15" customHeight="1" x14ac:dyDescent="0.25">
      <c r="A238" s="221" t="s">
        <v>4252</v>
      </c>
      <c r="B238" s="221" t="s">
        <v>18</v>
      </c>
      <c r="C238" s="221" t="s">
        <v>648</v>
      </c>
      <c r="D238" s="221" t="s">
        <v>648</v>
      </c>
      <c r="E238" s="221" t="s">
        <v>698</v>
      </c>
      <c r="F238" s="221" t="s">
        <v>41</v>
      </c>
      <c r="G238" s="221" t="s">
        <v>2289</v>
      </c>
      <c r="H238" s="221" t="s">
        <v>676</v>
      </c>
      <c r="I238" s="221" t="s">
        <v>652</v>
      </c>
      <c r="J238" s="226"/>
      <c r="K238" s="226"/>
      <c r="L238" s="222">
        <v>3000000</v>
      </c>
      <c r="M238" s="222">
        <v>3000000</v>
      </c>
      <c r="N238" s="221" t="s">
        <v>82</v>
      </c>
      <c r="O238" s="221" t="s">
        <v>125</v>
      </c>
    </row>
    <row r="239" spans="1:15" s="224" customFormat="1" ht="15" customHeight="1" x14ac:dyDescent="0.25">
      <c r="A239" s="7" t="s">
        <v>4252</v>
      </c>
      <c r="B239" s="7" t="s">
        <v>90</v>
      </c>
      <c r="C239" s="7" t="s">
        <v>4614</v>
      </c>
      <c r="D239" s="7" t="s">
        <v>41</v>
      </c>
      <c r="E239" s="7" t="s">
        <v>4251</v>
      </c>
      <c r="F239" s="7" t="s">
        <v>4250</v>
      </c>
      <c r="G239" s="7" t="s">
        <v>2345</v>
      </c>
      <c r="H239" s="7" t="s">
        <v>4249</v>
      </c>
      <c r="I239" s="7" t="s">
        <v>4032</v>
      </c>
      <c r="J239" s="209">
        <v>1440000</v>
      </c>
      <c r="K239" s="209">
        <v>360000</v>
      </c>
      <c r="L239" s="209">
        <v>0</v>
      </c>
      <c r="M239" s="209">
        <v>1800000</v>
      </c>
      <c r="N239" s="7" t="s">
        <v>82</v>
      </c>
      <c r="O239" s="7" t="s">
        <v>126</v>
      </c>
    </row>
    <row r="240" spans="1:15" s="224" customFormat="1" ht="15" customHeight="1" x14ac:dyDescent="0.25">
      <c r="A240" s="7" t="s">
        <v>4252</v>
      </c>
      <c r="B240" s="7" t="s">
        <v>90</v>
      </c>
      <c r="C240" s="7" t="s">
        <v>4614</v>
      </c>
      <c r="D240" s="7" t="s">
        <v>41</v>
      </c>
      <c r="E240" s="7" t="s">
        <v>4251</v>
      </c>
      <c r="F240" s="7" t="s">
        <v>4250</v>
      </c>
      <c r="G240" s="7" t="s">
        <v>177</v>
      </c>
      <c r="H240" s="7" t="s">
        <v>178</v>
      </c>
      <c r="I240" s="7" t="s">
        <v>4032</v>
      </c>
      <c r="J240" s="209">
        <v>160000</v>
      </c>
      <c r="K240" s="209">
        <v>40000</v>
      </c>
      <c r="L240" s="209">
        <v>0</v>
      </c>
      <c r="M240" s="209">
        <v>200000</v>
      </c>
      <c r="N240" s="7" t="s">
        <v>82</v>
      </c>
      <c r="O240" s="7" t="s">
        <v>126</v>
      </c>
    </row>
    <row r="241" spans="1:15" s="224" customFormat="1" ht="15" customHeight="1" x14ac:dyDescent="0.25">
      <c r="A241" s="221" t="s">
        <v>4252</v>
      </c>
      <c r="B241" s="221" t="s">
        <v>18</v>
      </c>
      <c r="C241" s="221" t="s">
        <v>648</v>
      </c>
      <c r="D241" s="221" t="s">
        <v>648</v>
      </c>
      <c r="E241" s="221" t="s">
        <v>698</v>
      </c>
      <c r="F241" s="221" t="s">
        <v>41</v>
      </c>
      <c r="G241" s="224" t="s">
        <v>212</v>
      </c>
      <c r="H241" s="221" t="s">
        <v>707</v>
      </c>
      <c r="I241" s="221" t="s">
        <v>652</v>
      </c>
      <c r="J241" s="226"/>
      <c r="K241" s="226"/>
      <c r="L241" s="222">
        <v>6500000</v>
      </c>
      <c r="M241" s="222">
        <v>6500000</v>
      </c>
      <c r="N241" s="221" t="s">
        <v>82</v>
      </c>
      <c r="O241" s="221" t="s">
        <v>126</v>
      </c>
    </row>
    <row r="242" spans="1:15" s="224" customFormat="1" x14ac:dyDescent="0.25">
      <c r="A242" s="221" t="s">
        <v>4252</v>
      </c>
      <c r="B242" s="221" t="s">
        <v>18</v>
      </c>
      <c r="C242" s="221" t="s">
        <v>648</v>
      </c>
      <c r="D242" s="221" t="s">
        <v>648</v>
      </c>
      <c r="E242" s="221" t="s">
        <v>698</v>
      </c>
      <c r="F242" s="221" t="s">
        <v>709</v>
      </c>
      <c r="G242" s="224" t="s">
        <v>212</v>
      </c>
      <c r="H242" s="221" t="s">
        <v>707</v>
      </c>
      <c r="I242" s="221" t="s">
        <v>652</v>
      </c>
      <c r="J242" s="226"/>
      <c r="K242" s="226"/>
      <c r="L242" s="222">
        <v>24442012</v>
      </c>
      <c r="M242" s="222">
        <v>24442012</v>
      </c>
      <c r="N242" s="221" t="s">
        <v>82</v>
      </c>
      <c r="O242" s="221" t="s">
        <v>126</v>
      </c>
    </row>
    <row r="243" spans="1:15" s="224" customFormat="1" x14ac:dyDescent="0.25">
      <c r="A243" s="221" t="s">
        <v>4252</v>
      </c>
      <c r="B243" s="221" t="s">
        <v>18</v>
      </c>
      <c r="C243" s="221" t="s">
        <v>648</v>
      </c>
      <c r="D243" s="221" t="s">
        <v>648</v>
      </c>
      <c r="E243" s="221" t="s">
        <v>698</v>
      </c>
      <c r="F243" s="221" t="s">
        <v>41</v>
      </c>
      <c r="G243" s="224" t="s">
        <v>2345</v>
      </c>
      <c r="H243" s="221" t="s">
        <v>708</v>
      </c>
      <c r="I243" s="221" t="s">
        <v>652</v>
      </c>
      <c r="J243" s="226"/>
      <c r="K243" s="226"/>
      <c r="L243" s="222">
        <v>9423011</v>
      </c>
      <c r="M243" s="222">
        <v>9423011</v>
      </c>
      <c r="N243" s="221" t="s">
        <v>82</v>
      </c>
      <c r="O243" s="221" t="s">
        <v>126</v>
      </c>
    </row>
    <row r="244" spans="1:15" s="224" customFormat="1" x14ac:dyDescent="0.25">
      <c r="A244" s="221" t="s">
        <v>4252</v>
      </c>
      <c r="B244" s="221" t="s">
        <v>18</v>
      </c>
      <c r="C244" s="221" t="s">
        <v>648</v>
      </c>
      <c r="D244" s="221" t="s">
        <v>648</v>
      </c>
      <c r="E244" s="221" t="s">
        <v>698</v>
      </c>
      <c r="F244" s="221" t="s">
        <v>699</v>
      </c>
      <c r="G244" s="224" t="s">
        <v>2345</v>
      </c>
      <c r="H244" s="221" t="s">
        <v>700</v>
      </c>
      <c r="I244" s="221" t="s">
        <v>652</v>
      </c>
      <c r="J244" s="226"/>
      <c r="K244" s="226"/>
      <c r="L244" s="222">
        <v>1397341</v>
      </c>
      <c r="M244" s="222">
        <v>1397341</v>
      </c>
      <c r="N244" s="221" t="s">
        <v>82</v>
      </c>
      <c r="O244" s="221" t="s">
        <v>126</v>
      </c>
    </row>
    <row r="245" spans="1:15" s="224" customFormat="1" x14ac:dyDescent="0.25">
      <c r="A245" s="221" t="s">
        <v>4252</v>
      </c>
      <c r="B245" s="221" t="s">
        <v>18</v>
      </c>
      <c r="C245" s="221" t="s">
        <v>648</v>
      </c>
      <c r="D245" s="221" t="s">
        <v>648</v>
      </c>
      <c r="E245" s="221" t="s">
        <v>698</v>
      </c>
      <c r="F245" s="221" t="s">
        <v>705</v>
      </c>
      <c r="G245" s="224" t="s">
        <v>2345</v>
      </c>
      <c r="H245" s="221" t="s">
        <v>706</v>
      </c>
      <c r="I245" s="221" t="s">
        <v>652</v>
      </c>
      <c r="J245" s="226"/>
      <c r="K245" s="226"/>
      <c r="L245" s="222">
        <v>23058291</v>
      </c>
      <c r="M245" s="222">
        <v>23058291</v>
      </c>
      <c r="N245" s="221" t="s">
        <v>82</v>
      </c>
      <c r="O245" s="221" t="s">
        <v>126</v>
      </c>
    </row>
    <row r="246" spans="1:15" s="224" customFormat="1" x14ac:dyDescent="0.25">
      <c r="A246" s="221" t="s">
        <v>4252</v>
      </c>
      <c r="B246" s="221" t="s">
        <v>18</v>
      </c>
      <c r="C246" s="221" t="s">
        <v>648</v>
      </c>
      <c r="D246" s="221" t="s">
        <v>648</v>
      </c>
      <c r="E246" s="221" t="s">
        <v>698</v>
      </c>
      <c r="F246" s="221" t="s">
        <v>41</v>
      </c>
      <c r="G246" s="224" t="s">
        <v>73</v>
      </c>
      <c r="H246" s="221" t="s">
        <v>713</v>
      </c>
      <c r="I246" s="221" t="s">
        <v>652</v>
      </c>
      <c r="J246" s="226"/>
      <c r="K246" s="226"/>
      <c r="L246" s="222">
        <v>3000000</v>
      </c>
      <c r="M246" s="222">
        <v>3000000</v>
      </c>
      <c r="N246" s="221" t="s">
        <v>82</v>
      </c>
      <c r="O246" s="221" t="s">
        <v>126</v>
      </c>
    </row>
    <row r="247" spans="1:15" s="224" customFormat="1" x14ac:dyDescent="0.25">
      <c r="A247" s="221" t="s">
        <v>4252</v>
      </c>
      <c r="B247" s="221" t="s">
        <v>18</v>
      </c>
      <c r="C247" s="221" t="s">
        <v>648</v>
      </c>
      <c r="D247" s="221" t="s">
        <v>648</v>
      </c>
      <c r="E247" s="221" t="s">
        <v>698</v>
      </c>
      <c r="F247" s="221" t="s">
        <v>703</v>
      </c>
      <c r="G247" s="224" t="s">
        <v>2345</v>
      </c>
      <c r="H247" s="221" t="s">
        <v>681</v>
      </c>
      <c r="I247" s="221" t="s">
        <v>652</v>
      </c>
      <c r="J247" s="226"/>
      <c r="K247" s="226"/>
      <c r="L247" s="222">
        <v>1323776</v>
      </c>
      <c r="M247" s="222">
        <v>1323776</v>
      </c>
      <c r="N247" s="221" t="s">
        <v>4621</v>
      </c>
      <c r="O247" s="221" t="s">
        <v>124</v>
      </c>
    </row>
    <row r="248" spans="1:15" s="224" customFormat="1" x14ac:dyDescent="0.25">
      <c r="A248" s="221" t="s">
        <v>4252</v>
      </c>
      <c r="B248" s="221" t="s">
        <v>18</v>
      </c>
      <c r="C248" s="221" t="s">
        <v>648</v>
      </c>
      <c r="D248" s="221" t="s">
        <v>648</v>
      </c>
      <c r="E248" s="221" t="s">
        <v>698</v>
      </c>
      <c r="F248" s="221" t="s">
        <v>701</v>
      </c>
      <c r="G248" s="224" t="s">
        <v>2345</v>
      </c>
      <c r="H248" s="221" t="s">
        <v>702</v>
      </c>
      <c r="I248" s="221" t="s">
        <v>652</v>
      </c>
      <c r="J248" s="226"/>
      <c r="K248" s="226"/>
      <c r="L248" s="222">
        <v>52973668</v>
      </c>
      <c r="M248" s="222">
        <v>52973668</v>
      </c>
      <c r="N248" s="221" t="s">
        <v>82</v>
      </c>
      <c r="O248" s="221" t="s">
        <v>126</v>
      </c>
    </row>
    <row r="249" spans="1:15" s="224" customFormat="1" x14ac:dyDescent="0.25">
      <c r="A249" s="221" t="s">
        <v>4252</v>
      </c>
      <c r="B249" s="221" t="s">
        <v>18</v>
      </c>
      <c r="C249" s="221" t="s">
        <v>648</v>
      </c>
      <c r="D249" s="221" t="s">
        <v>648</v>
      </c>
      <c r="E249" s="221" t="s">
        <v>698</v>
      </c>
      <c r="F249" s="221" t="s">
        <v>712</v>
      </c>
      <c r="G249" s="224" t="s">
        <v>2345</v>
      </c>
      <c r="H249" s="221" t="s">
        <v>78</v>
      </c>
      <c r="I249" s="221" t="s">
        <v>652</v>
      </c>
      <c r="J249" s="226"/>
      <c r="K249" s="226"/>
      <c r="L249" s="222">
        <v>7280156</v>
      </c>
      <c r="M249" s="222">
        <v>7280156</v>
      </c>
      <c r="N249" s="221" t="s">
        <v>79</v>
      </c>
      <c r="O249" s="221" t="s">
        <v>124</v>
      </c>
    </row>
    <row r="250" spans="1:15" s="224" customFormat="1" x14ac:dyDescent="0.25">
      <c r="A250" s="221" t="s">
        <v>4252</v>
      </c>
      <c r="B250" s="221" t="s">
        <v>18</v>
      </c>
      <c r="C250" s="221" t="s">
        <v>648</v>
      </c>
      <c r="D250" s="221" t="s">
        <v>648</v>
      </c>
      <c r="E250" s="221" t="s">
        <v>698</v>
      </c>
      <c r="F250" s="221" t="s">
        <v>710</v>
      </c>
      <c r="G250" s="224" t="s">
        <v>2345</v>
      </c>
      <c r="H250" s="221" t="s">
        <v>711</v>
      </c>
      <c r="I250" s="221" t="s">
        <v>652</v>
      </c>
      <c r="J250" s="226"/>
      <c r="K250" s="226"/>
      <c r="L250" s="222">
        <v>726983</v>
      </c>
      <c r="M250" s="222">
        <v>726983</v>
      </c>
      <c r="N250" s="221" t="s">
        <v>82</v>
      </c>
      <c r="O250" s="221" t="s">
        <v>125</v>
      </c>
    </row>
    <row r="251" spans="1:15" s="224" customFormat="1" x14ac:dyDescent="0.25">
      <c r="A251" s="187" t="s">
        <v>733</v>
      </c>
      <c r="B251" s="61" t="s">
        <v>90</v>
      </c>
      <c r="C251" s="7" t="s">
        <v>4614</v>
      </c>
      <c r="D251" s="199" t="s">
        <v>916</v>
      </c>
      <c r="E251" s="199" t="s">
        <v>980</v>
      </c>
      <c r="F251" s="199" t="s">
        <v>1086</v>
      </c>
      <c r="G251" s="7" t="s">
        <v>2345</v>
      </c>
      <c r="H251" s="199" t="s">
        <v>1198</v>
      </c>
      <c r="I251" s="199" t="s">
        <v>1275</v>
      </c>
      <c r="J251" s="235">
        <v>445703.32</v>
      </c>
      <c r="K251" s="211">
        <v>111425.68</v>
      </c>
      <c r="L251" s="211">
        <v>0</v>
      </c>
      <c r="M251" s="235">
        <v>557129</v>
      </c>
      <c r="N251" s="61" t="s">
        <v>82</v>
      </c>
      <c r="O251" s="61" t="s">
        <v>126</v>
      </c>
    </row>
    <row r="252" spans="1:15" s="224" customFormat="1" x14ac:dyDescent="0.25">
      <c r="A252" s="223" t="s">
        <v>375</v>
      </c>
      <c r="B252" s="224" t="s">
        <v>90</v>
      </c>
      <c r="C252" s="224" t="s">
        <v>4614</v>
      </c>
      <c r="D252" s="225" t="s">
        <v>351</v>
      </c>
      <c r="E252" s="224" t="s">
        <v>329</v>
      </c>
      <c r="F252" s="224" t="s">
        <v>376</v>
      </c>
      <c r="G252" s="224" t="s">
        <v>73</v>
      </c>
      <c r="H252" s="224" t="s">
        <v>245</v>
      </c>
      <c r="I252" s="224" t="s">
        <v>224</v>
      </c>
      <c r="J252" s="226"/>
      <c r="K252" s="226"/>
      <c r="L252" s="226">
        <v>6609.9</v>
      </c>
      <c r="M252" s="226">
        <v>6609.9</v>
      </c>
      <c r="N252" s="224" t="s">
        <v>4624</v>
      </c>
      <c r="O252" s="224" t="s">
        <v>124</v>
      </c>
    </row>
    <row r="253" spans="1:15" s="224" customFormat="1" ht="15.75" x14ac:dyDescent="0.25">
      <c r="A253" s="224" t="s">
        <v>4700</v>
      </c>
      <c r="B253" s="227" t="s">
        <v>90</v>
      </c>
      <c r="C253" s="224" t="s">
        <v>4614</v>
      </c>
      <c r="D253" s="227" t="s">
        <v>91</v>
      </c>
      <c r="E253" s="227" t="s">
        <v>97</v>
      </c>
      <c r="F253" s="227" t="s">
        <v>114</v>
      </c>
      <c r="G253" s="224" t="s">
        <v>73</v>
      </c>
      <c r="H253" s="227" t="s">
        <v>123</v>
      </c>
      <c r="I253" s="227" t="s">
        <v>83</v>
      </c>
      <c r="L253" s="232">
        <v>620000</v>
      </c>
      <c r="M253" s="232">
        <v>620000</v>
      </c>
      <c r="N253" s="224" t="s">
        <v>82</v>
      </c>
      <c r="O253" s="227" t="s">
        <v>126</v>
      </c>
    </row>
    <row r="254" spans="1:15" s="224" customFormat="1" ht="15.75" x14ac:dyDescent="0.25">
      <c r="A254" s="224" t="s">
        <v>4700</v>
      </c>
      <c r="B254" s="227" t="s">
        <v>18</v>
      </c>
      <c r="C254" s="224" t="s">
        <v>4614</v>
      </c>
      <c r="D254" s="227" t="s">
        <v>91</v>
      </c>
      <c r="E254" s="227" t="s">
        <v>96</v>
      </c>
      <c r="F254" s="227" t="s">
        <v>107</v>
      </c>
      <c r="G254" s="224" t="s">
        <v>2345</v>
      </c>
      <c r="H254" s="227" t="s">
        <v>121</v>
      </c>
      <c r="I254" s="227" t="s">
        <v>83</v>
      </c>
      <c r="L254" s="232">
        <v>1329616.57</v>
      </c>
      <c r="M254" s="232">
        <v>1329616.57</v>
      </c>
      <c r="N254" s="224" t="s">
        <v>2286</v>
      </c>
      <c r="O254" s="224" t="s">
        <v>124</v>
      </c>
    </row>
    <row r="255" spans="1:15" s="224" customFormat="1" ht="15.75" x14ac:dyDescent="0.25">
      <c r="A255" s="224" t="s">
        <v>4700</v>
      </c>
      <c r="B255" s="227" t="s">
        <v>90</v>
      </c>
      <c r="C255" s="224" t="s">
        <v>4614</v>
      </c>
      <c r="D255" s="227" t="s">
        <v>91</v>
      </c>
      <c r="E255" s="227" t="s">
        <v>203</v>
      </c>
      <c r="F255" s="227" t="s">
        <v>113</v>
      </c>
      <c r="G255" s="224" t="s">
        <v>2345</v>
      </c>
      <c r="H255" s="227" t="s">
        <v>74</v>
      </c>
      <c r="I255" s="227" t="s">
        <v>83</v>
      </c>
      <c r="L255" s="233">
        <v>12429.32</v>
      </c>
      <c r="M255" s="232">
        <v>12429.32</v>
      </c>
      <c r="N255" s="224" t="s">
        <v>225</v>
      </c>
      <c r="O255" s="224" t="s">
        <v>125</v>
      </c>
    </row>
    <row r="256" spans="1:15" s="224" customFormat="1" ht="15.75" x14ac:dyDescent="0.25">
      <c r="A256" s="224" t="s">
        <v>4700</v>
      </c>
      <c r="B256" s="227" t="s">
        <v>18</v>
      </c>
      <c r="C256" s="224" t="s">
        <v>4614</v>
      </c>
      <c r="D256" s="227" t="s">
        <v>91</v>
      </c>
      <c r="E256" s="227" t="s">
        <v>202</v>
      </c>
      <c r="F256" s="227" t="s">
        <v>112</v>
      </c>
      <c r="G256" s="224" t="s">
        <v>2345</v>
      </c>
      <c r="H256" s="227" t="s">
        <v>123</v>
      </c>
      <c r="I256" s="227" t="s">
        <v>199</v>
      </c>
      <c r="L256" s="233">
        <v>3578</v>
      </c>
      <c r="M256" s="232">
        <v>3578</v>
      </c>
      <c r="N256" s="224" t="s">
        <v>225</v>
      </c>
      <c r="O256" s="227" t="s">
        <v>125</v>
      </c>
    </row>
    <row r="257" spans="1:15" s="224" customFormat="1" x14ac:dyDescent="0.25">
      <c r="A257" s="223" t="s">
        <v>377</v>
      </c>
      <c r="B257" s="224" t="s">
        <v>90</v>
      </c>
      <c r="C257" s="224" t="s">
        <v>4692</v>
      </c>
      <c r="D257" s="225" t="s">
        <v>378</v>
      </c>
      <c r="E257" s="224" t="s">
        <v>379</v>
      </c>
      <c r="F257" s="224" t="s">
        <v>380</v>
      </c>
      <c r="G257" s="224" t="s">
        <v>117</v>
      </c>
      <c r="H257" s="224" t="s">
        <v>119</v>
      </c>
      <c r="I257" s="224" t="s">
        <v>224</v>
      </c>
      <c r="J257" s="226"/>
      <c r="K257" s="226"/>
      <c r="L257" s="226">
        <v>3871815</v>
      </c>
      <c r="M257" s="226">
        <v>3871815</v>
      </c>
      <c r="N257" s="224" t="s">
        <v>79</v>
      </c>
      <c r="O257" s="224" t="s">
        <v>124</v>
      </c>
    </row>
    <row r="258" spans="1:15" s="224" customFormat="1" x14ac:dyDescent="0.25">
      <c r="A258" s="187" t="s">
        <v>838</v>
      </c>
      <c r="B258" s="61" t="s">
        <v>90</v>
      </c>
      <c r="C258" s="7" t="s">
        <v>4692</v>
      </c>
      <c r="D258" s="199" t="s">
        <v>91</v>
      </c>
      <c r="E258" s="199" t="s">
        <v>1058</v>
      </c>
      <c r="F258" s="199" t="s">
        <v>4657</v>
      </c>
      <c r="G258" s="7" t="s">
        <v>2345</v>
      </c>
      <c r="H258" s="7" t="s">
        <v>179</v>
      </c>
      <c r="I258" s="199" t="s">
        <v>2581</v>
      </c>
      <c r="J258" s="235">
        <v>137370.53</v>
      </c>
      <c r="K258" s="211">
        <v>77271.47</v>
      </c>
      <c r="L258" s="211">
        <v>0</v>
      </c>
      <c r="M258" s="235">
        <v>214642</v>
      </c>
      <c r="N258" s="61" t="s">
        <v>4625</v>
      </c>
      <c r="O258" s="61" t="s">
        <v>125</v>
      </c>
    </row>
    <row r="259" spans="1:15" s="224" customFormat="1" x14ac:dyDescent="0.25">
      <c r="A259" s="187" t="s">
        <v>827</v>
      </c>
      <c r="B259" s="61" t="s">
        <v>18</v>
      </c>
      <c r="C259" s="7" t="s">
        <v>4692</v>
      </c>
      <c r="D259" s="199" t="s">
        <v>940</v>
      </c>
      <c r="E259" s="199" t="s">
        <v>1014</v>
      </c>
      <c r="F259" s="199" t="s">
        <v>1165</v>
      </c>
      <c r="G259" s="7" t="s">
        <v>2345</v>
      </c>
      <c r="H259" s="199" t="s">
        <v>4750</v>
      </c>
      <c r="I259" s="199" t="s">
        <v>2781</v>
      </c>
      <c r="J259" s="235">
        <v>12460</v>
      </c>
      <c r="K259" s="211">
        <v>10904</v>
      </c>
      <c r="L259" s="211">
        <v>0</v>
      </c>
      <c r="M259" s="235">
        <v>23364</v>
      </c>
      <c r="N259" s="61" t="s">
        <v>4621</v>
      </c>
      <c r="O259" s="61" t="s">
        <v>124</v>
      </c>
    </row>
    <row r="260" spans="1:15" s="224" customFormat="1" x14ac:dyDescent="0.25">
      <c r="A260" s="187" t="s">
        <v>827</v>
      </c>
      <c r="B260" s="61" t="s">
        <v>18</v>
      </c>
      <c r="C260" s="7" t="s">
        <v>4692</v>
      </c>
      <c r="D260" s="199" t="s">
        <v>940</v>
      </c>
      <c r="E260" s="199" t="s">
        <v>1014</v>
      </c>
      <c r="F260" s="199" t="s">
        <v>1165</v>
      </c>
      <c r="G260" s="7" t="s">
        <v>2345</v>
      </c>
      <c r="H260" s="199" t="s">
        <v>4750</v>
      </c>
      <c r="I260" s="199" t="s">
        <v>2581</v>
      </c>
      <c r="J260" s="235">
        <v>6580</v>
      </c>
      <c r="K260" s="211">
        <v>1645</v>
      </c>
      <c r="L260" s="211">
        <v>0</v>
      </c>
      <c r="M260" s="235">
        <v>8225</v>
      </c>
      <c r="N260" s="61" t="s">
        <v>4621</v>
      </c>
      <c r="O260" s="61" t="s">
        <v>124</v>
      </c>
    </row>
    <row r="261" spans="1:15" s="224" customFormat="1" x14ac:dyDescent="0.25">
      <c r="A261" s="187" t="s">
        <v>839</v>
      </c>
      <c r="B261" s="61" t="s">
        <v>18</v>
      </c>
      <c r="C261" s="7" t="s">
        <v>4692</v>
      </c>
      <c r="D261" s="199" t="s">
        <v>968</v>
      </c>
      <c r="E261" s="199" t="s">
        <v>1060</v>
      </c>
      <c r="F261" s="199" t="s">
        <v>1176</v>
      </c>
      <c r="G261" s="7" t="s">
        <v>2345</v>
      </c>
      <c r="H261" s="199" t="s">
        <v>4716</v>
      </c>
      <c r="I261" s="199" t="s">
        <v>3040</v>
      </c>
      <c r="J261" s="235">
        <v>147172</v>
      </c>
      <c r="K261" s="211">
        <v>0</v>
      </c>
      <c r="L261" s="211">
        <v>0</v>
      </c>
      <c r="M261" s="235">
        <v>147172</v>
      </c>
      <c r="N261" s="61" t="s">
        <v>225</v>
      </c>
      <c r="O261" s="61" t="s">
        <v>125</v>
      </c>
    </row>
    <row r="262" spans="1:15" s="224" customFormat="1" x14ac:dyDescent="0.25">
      <c r="A262" s="187" t="s">
        <v>839</v>
      </c>
      <c r="B262" s="61" t="s">
        <v>18</v>
      </c>
      <c r="C262" s="7" t="s">
        <v>4692</v>
      </c>
      <c r="D262" s="199" t="s">
        <v>968</v>
      </c>
      <c r="E262" s="199" t="s">
        <v>1060</v>
      </c>
      <c r="F262" s="199" t="s">
        <v>1176</v>
      </c>
      <c r="G262" s="7" t="s">
        <v>2345</v>
      </c>
      <c r="H262" s="199" t="s">
        <v>4716</v>
      </c>
      <c r="I262" s="199" t="s">
        <v>3040</v>
      </c>
      <c r="J262" s="235">
        <v>30000</v>
      </c>
      <c r="K262" s="211">
        <v>0</v>
      </c>
      <c r="L262" s="211">
        <v>0</v>
      </c>
      <c r="M262" s="235">
        <v>30000</v>
      </c>
      <c r="N262" s="61" t="s">
        <v>225</v>
      </c>
      <c r="O262" s="61" t="s">
        <v>125</v>
      </c>
    </row>
    <row r="263" spans="1:15" s="224" customFormat="1" x14ac:dyDescent="0.25">
      <c r="A263" s="7" t="s">
        <v>3309</v>
      </c>
      <c r="B263" s="7" t="s">
        <v>18</v>
      </c>
      <c r="C263" s="7" t="s">
        <v>4692</v>
      </c>
      <c r="D263" s="7" t="s">
        <v>933</v>
      </c>
      <c r="E263" s="7" t="s">
        <v>3308</v>
      </c>
      <c r="F263" s="7" t="s">
        <v>3307</v>
      </c>
      <c r="G263" s="7" t="s">
        <v>2345</v>
      </c>
      <c r="H263" s="7" t="s">
        <v>74</v>
      </c>
      <c r="I263" s="7" t="s">
        <v>2581</v>
      </c>
      <c r="J263" s="209">
        <v>318772</v>
      </c>
      <c r="K263" s="209">
        <v>79693</v>
      </c>
      <c r="L263" s="209">
        <v>0</v>
      </c>
      <c r="M263" s="209">
        <v>398465</v>
      </c>
      <c r="N263" s="7" t="s">
        <v>225</v>
      </c>
      <c r="O263" s="7" t="s">
        <v>125</v>
      </c>
    </row>
    <row r="264" spans="1:15" s="224" customFormat="1" x14ac:dyDescent="0.25">
      <c r="A264" s="7" t="s">
        <v>3309</v>
      </c>
      <c r="B264" s="7" t="s">
        <v>18</v>
      </c>
      <c r="C264" s="7" t="s">
        <v>4692</v>
      </c>
      <c r="D264" s="7" t="s">
        <v>933</v>
      </c>
      <c r="E264" s="7" t="s">
        <v>3308</v>
      </c>
      <c r="F264" s="7" t="s">
        <v>3307</v>
      </c>
      <c r="G264" s="7" t="s">
        <v>177</v>
      </c>
      <c r="H264" s="7" t="s">
        <v>178</v>
      </c>
      <c r="I264" s="7" t="s">
        <v>2581</v>
      </c>
      <c r="J264" s="209">
        <v>54400</v>
      </c>
      <c r="K264" s="209">
        <v>13600</v>
      </c>
      <c r="L264" s="209">
        <v>0</v>
      </c>
      <c r="M264" s="209">
        <v>68000</v>
      </c>
      <c r="N264" s="7" t="s">
        <v>225</v>
      </c>
      <c r="O264" s="7" t="s">
        <v>125</v>
      </c>
    </row>
    <row r="265" spans="1:15" s="224" customFormat="1" x14ac:dyDescent="0.25">
      <c r="A265" s="7" t="s">
        <v>4083</v>
      </c>
      <c r="B265" s="7" t="s">
        <v>18</v>
      </c>
      <c r="C265" s="7" t="s">
        <v>4692</v>
      </c>
      <c r="D265" s="7" t="s">
        <v>4082</v>
      </c>
      <c r="E265" s="7" t="s">
        <v>4081</v>
      </c>
      <c r="F265" s="7" t="s">
        <v>4080</v>
      </c>
      <c r="G265" s="7" t="s">
        <v>2345</v>
      </c>
      <c r="H265" s="7" t="s">
        <v>4085</v>
      </c>
      <c r="I265" s="7" t="s">
        <v>2581</v>
      </c>
      <c r="J265" s="209">
        <v>1617970</v>
      </c>
      <c r="K265" s="209">
        <v>494837.2</v>
      </c>
      <c r="L265" s="209">
        <v>361378.79999999981</v>
      </c>
      <c r="M265" s="209">
        <v>2474186</v>
      </c>
      <c r="N265" s="7" t="s">
        <v>225</v>
      </c>
      <c r="O265" s="7" t="s">
        <v>124</v>
      </c>
    </row>
    <row r="266" spans="1:15" s="224" customFormat="1" x14ac:dyDescent="0.25">
      <c r="A266" s="7" t="s">
        <v>4083</v>
      </c>
      <c r="B266" s="7" t="s">
        <v>18</v>
      </c>
      <c r="C266" s="7" t="s">
        <v>4692</v>
      </c>
      <c r="D266" s="7" t="s">
        <v>4082</v>
      </c>
      <c r="E266" s="7" t="s">
        <v>4081</v>
      </c>
      <c r="F266" s="7" t="s">
        <v>4080</v>
      </c>
      <c r="G266" s="7" t="s">
        <v>177</v>
      </c>
      <c r="H266" s="7" t="s">
        <v>178</v>
      </c>
      <c r="I266" s="7" t="s">
        <v>2581</v>
      </c>
      <c r="J266" s="209">
        <v>207175</v>
      </c>
      <c r="K266" s="209">
        <v>51794</v>
      </c>
      <c r="L266" s="209">
        <v>0</v>
      </c>
      <c r="M266" s="209">
        <v>258970</v>
      </c>
      <c r="N266" s="7" t="s">
        <v>225</v>
      </c>
      <c r="O266" s="7" t="s">
        <v>125</v>
      </c>
    </row>
    <row r="267" spans="1:15" s="224" customFormat="1" x14ac:dyDescent="0.25">
      <c r="A267" s="7" t="s">
        <v>4083</v>
      </c>
      <c r="B267" s="7" t="s">
        <v>18</v>
      </c>
      <c r="C267" s="7" t="s">
        <v>4692</v>
      </c>
      <c r="D267" s="7" t="s">
        <v>4082</v>
      </c>
      <c r="E267" s="7" t="s">
        <v>4081</v>
      </c>
      <c r="F267" s="7" t="s">
        <v>4080</v>
      </c>
      <c r="G267" s="7" t="s">
        <v>2345</v>
      </c>
      <c r="H267" s="8" t="s">
        <v>219</v>
      </c>
      <c r="I267" s="7" t="s">
        <v>83</v>
      </c>
      <c r="J267" s="209">
        <v>0</v>
      </c>
      <c r="K267" s="209">
        <v>0</v>
      </c>
      <c r="L267" s="209">
        <v>41940</v>
      </c>
      <c r="M267" s="209">
        <v>41940</v>
      </c>
      <c r="N267" s="7" t="s">
        <v>225</v>
      </c>
      <c r="O267" s="7" t="s">
        <v>125</v>
      </c>
    </row>
    <row r="268" spans="1:15" s="224" customFormat="1" x14ac:dyDescent="0.25">
      <c r="A268" s="7" t="s">
        <v>4581</v>
      </c>
      <c r="B268" s="7" t="s">
        <v>18</v>
      </c>
      <c r="C268" s="7" t="s">
        <v>4692</v>
      </c>
      <c r="D268" s="7" t="s">
        <v>954</v>
      </c>
      <c r="E268" s="7" t="s">
        <v>3759</v>
      </c>
      <c r="F268" s="7" t="s">
        <v>4580</v>
      </c>
      <c r="G268" s="224" t="s">
        <v>212</v>
      </c>
      <c r="H268" s="7" t="s">
        <v>213</v>
      </c>
      <c r="I268" s="7" t="s">
        <v>2581</v>
      </c>
      <c r="J268" s="209">
        <v>636634</v>
      </c>
      <c r="K268" s="209">
        <v>181895.40000000002</v>
      </c>
      <c r="L268" s="209">
        <v>90947.599999999977</v>
      </c>
      <c r="M268" s="209">
        <v>909477</v>
      </c>
      <c r="N268" s="7" t="s">
        <v>79</v>
      </c>
      <c r="O268" s="7" t="s">
        <v>124</v>
      </c>
    </row>
    <row r="269" spans="1:15" s="224" customFormat="1" x14ac:dyDescent="0.25">
      <c r="A269" s="7" t="s">
        <v>1970</v>
      </c>
      <c r="B269" s="7" t="s">
        <v>18</v>
      </c>
      <c r="C269" s="7" t="s">
        <v>4692</v>
      </c>
      <c r="D269" s="7" t="s">
        <v>951</v>
      </c>
      <c r="E269" s="7" t="s">
        <v>41</v>
      </c>
      <c r="F269" s="7" t="s">
        <v>4132</v>
      </c>
      <c r="G269" s="7" t="s">
        <v>2345</v>
      </c>
      <c r="H269" s="7" t="s">
        <v>4131</v>
      </c>
      <c r="I269" s="7" t="s">
        <v>2284</v>
      </c>
      <c r="J269" s="209">
        <v>283888</v>
      </c>
      <c r="K269" s="209">
        <v>70972</v>
      </c>
      <c r="L269" s="209">
        <v>60532</v>
      </c>
      <c r="M269" s="209">
        <v>415392</v>
      </c>
      <c r="N269" s="7" t="s">
        <v>4616</v>
      </c>
      <c r="O269" s="7" t="s">
        <v>124</v>
      </c>
    </row>
    <row r="270" spans="1:15" s="224" customFormat="1" x14ac:dyDescent="0.25">
      <c r="A270" s="7" t="s">
        <v>1970</v>
      </c>
      <c r="B270" s="7" t="s">
        <v>18</v>
      </c>
      <c r="C270" s="7" t="s">
        <v>4692</v>
      </c>
      <c r="D270" s="7" t="s">
        <v>951</v>
      </c>
      <c r="E270" s="7" t="s">
        <v>41</v>
      </c>
      <c r="F270" s="7" t="s">
        <v>4132</v>
      </c>
      <c r="G270" s="7" t="s">
        <v>177</v>
      </c>
      <c r="H270" s="7" t="s">
        <v>178</v>
      </c>
      <c r="I270" s="7" t="s">
        <v>2284</v>
      </c>
      <c r="J270" s="209">
        <v>21422</v>
      </c>
      <c r="K270" s="209">
        <v>5355.6</v>
      </c>
      <c r="L270" s="209">
        <v>0</v>
      </c>
      <c r="M270" s="209">
        <v>26778</v>
      </c>
      <c r="N270" s="7" t="s">
        <v>4616</v>
      </c>
      <c r="O270" s="7" t="s">
        <v>124</v>
      </c>
    </row>
    <row r="271" spans="1:15" s="224" customFormat="1" x14ac:dyDescent="0.25">
      <c r="A271" s="187" t="s">
        <v>807</v>
      </c>
      <c r="B271" s="61" t="s">
        <v>18</v>
      </c>
      <c r="C271" s="7" t="s">
        <v>4692</v>
      </c>
      <c r="D271" s="199" t="s">
        <v>954</v>
      </c>
      <c r="E271" s="199" t="s">
        <v>1038</v>
      </c>
      <c r="F271" s="199" t="s">
        <v>1147</v>
      </c>
      <c r="G271" s="7" t="s">
        <v>2345</v>
      </c>
      <c r="H271" s="199" t="s">
        <v>1245</v>
      </c>
      <c r="I271" s="199" t="s">
        <v>2581</v>
      </c>
      <c r="J271" s="235">
        <v>5776.77</v>
      </c>
      <c r="K271" s="211">
        <v>1444.2299999999996</v>
      </c>
      <c r="L271" s="211">
        <v>0</v>
      </c>
      <c r="M271" s="235">
        <v>7221</v>
      </c>
      <c r="N271" s="61" t="s">
        <v>225</v>
      </c>
      <c r="O271" s="61" t="s">
        <v>125</v>
      </c>
    </row>
    <row r="272" spans="1:15" s="224" customFormat="1" x14ac:dyDescent="0.25">
      <c r="A272" s="7" t="s">
        <v>798</v>
      </c>
      <c r="B272" s="7" t="s">
        <v>18</v>
      </c>
      <c r="C272" s="7" t="s">
        <v>4692</v>
      </c>
      <c r="D272" s="7" t="s">
        <v>951</v>
      </c>
      <c r="E272" s="7" t="s">
        <v>1031</v>
      </c>
      <c r="F272" s="7" t="s">
        <v>1140</v>
      </c>
      <c r="G272" s="7" t="s">
        <v>2345</v>
      </c>
      <c r="H272" s="7" t="s">
        <v>123</v>
      </c>
      <c r="I272" s="7" t="s">
        <v>2581</v>
      </c>
      <c r="J272" s="209">
        <v>300000</v>
      </c>
      <c r="K272" s="209">
        <v>153382.73400000003</v>
      </c>
      <c r="L272" s="209">
        <v>313530.93599999999</v>
      </c>
      <c r="M272" s="209">
        <v>766913.67</v>
      </c>
      <c r="N272" s="7" t="s">
        <v>4616</v>
      </c>
      <c r="O272" s="7" t="s">
        <v>126</v>
      </c>
    </row>
    <row r="273" spans="1:15" s="224" customFormat="1" x14ac:dyDescent="0.25">
      <c r="A273" s="187" t="s">
        <v>798</v>
      </c>
      <c r="B273" s="61" t="s">
        <v>18</v>
      </c>
      <c r="C273" s="7" t="s">
        <v>4692</v>
      </c>
      <c r="D273" s="199" t="s">
        <v>951</v>
      </c>
      <c r="E273" s="199" t="s">
        <v>1031</v>
      </c>
      <c r="F273" s="199" t="s">
        <v>1140</v>
      </c>
      <c r="G273" s="7" t="s">
        <v>2345</v>
      </c>
      <c r="H273" s="8" t="s">
        <v>78</v>
      </c>
      <c r="I273" s="199" t="s">
        <v>2581</v>
      </c>
      <c r="J273" s="235">
        <v>300000</v>
      </c>
      <c r="K273" s="211">
        <v>75000</v>
      </c>
      <c r="L273" s="211">
        <v>0</v>
      </c>
      <c r="M273" s="235">
        <v>375000</v>
      </c>
      <c r="N273" s="61" t="s">
        <v>4616</v>
      </c>
      <c r="O273" s="61" t="s">
        <v>126</v>
      </c>
    </row>
    <row r="274" spans="1:15" s="224" customFormat="1" x14ac:dyDescent="0.25">
      <c r="A274" s="7" t="s">
        <v>3674</v>
      </c>
      <c r="B274" s="7" t="s">
        <v>90</v>
      </c>
      <c r="C274" s="7" t="s">
        <v>4692</v>
      </c>
      <c r="D274" s="7" t="s">
        <v>3673</v>
      </c>
      <c r="E274" s="7" t="s">
        <v>3672</v>
      </c>
      <c r="F274" s="7" t="s">
        <v>3671</v>
      </c>
      <c r="G274" s="7" t="s">
        <v>2345</v>
      </c>
      <c r="H274" s="7" t="s">
        <v>179</v>
      </c>
      <c r="I274" s="7" t="s">
        <v>1275</v>
      </c>
      <c r="J274" s="209">
        <v>540000</v>
      </c>
      <c r="K274" s="209">
        <v>135000</v>
      </c>
      <c r="L274" s="209">
        <v>0</v>
      </c>
      <c r="M274" s="209">
        <v>675000</v>
      </c>
      <c r="N274" s="7" t="s">
        <v>225</v>
      </c>
      <c r="O274" s="7" t="s">
        <v>125</v>
      </c>
    </row>
    <row r="275" spans="1:15" s="224" customFormat="1" x14ac:dyDescent="0.25">
      <c r="A275" s="7" t="s">
        <v>3674</v>
      </c>
      <c r="B275" s="7" t="s">
        <v>90</v>
      </c>
      <c r="C275" s="7" t="s">
        <v>4692</v>
      </c>
      <c r="D275" s="7" t="s">
        <v>3673</v>
      </c>
      <c r="E275" s="7" t="s">
        <v>3672</v>
      </c>
      <c r="F275" s="7" t="s">
        <v>3671</v>
      </c>
      <c r="G275" s="7" t="s">
        <v>177</v>
      </c>
      <c r="H275" s="7" t="s">
        <v>178</v>
      </c>
      <c r="I275" s="7" t="s">
        <v>1275</v>
      </c>
      <c r="J275" s="209">
        <v>60000</v>
      </c>
      <c r="K275" s="209">
        <v>15000</v>
      </c>
      <c r="L275" s="209">
        <v>0</v>
      </c>
      <c r="M275" s="209">
        <v>75000</v>
      </c>
      <c r="N275" s="7" t="s">
        <v>225</v>
      </c>
      <c r="O275" s="7" t="s">
        <v>125</v>
      </c>
    </row>
    <row r="276" spans="1:15" s="224" customFormat="1" x14ac:dyDescent="0.25">
      <c r="A276" s="7" t="s">
        <v>4296</v>
      </c>
      <c r="B276" s="7" t="s">
        <v>18</v>
      </c>
      <c r="C276" s="7" t="s">
        <v>4692</v>
      </c>
      <c r="D276" s="7" t="s">
        <v>382</v>
      </c>
      <c r="E276" s="7" t="s">
        <v>4295</v>
      </c>
      <c r="F276" s="7" t="s">
        <v>4294</v>
      </c>
      <c r="G276" s="7" t="s">
        <v>2345</v>
      </c>
      <c r="H276" s="7" t="s">
        <v>74</v>
      </c>
      <c r="I276" s="7" t="s">
        <v>2581</v>
      </c>
      <c r="J276" s="209">
        <v>599469</v>
      </c>
      <c r="K276" s="209">
        <v>149867.4</v>
      </c>
      <c r="L276" s="209">
        <v>0</v>
      </c>
      <c r="M276" s="209">
        <v>749337</v>
      </c>
      <c r="N276" s="7" t="s">
        <v>225</v>
      </c>
      <c r="O276" s="7" t="s">
        <v>125</v>
      </c>
    </row>
    <row r="277" spans="1:15" s="224" customFormat="1" x14ac:dyDescent="0.25">
      <c r="A277" s="7" t="s">
        <v>4296</v>
      </c>
      <c r="B277" s="7" t="s">
        <v>18</v>
      </c>
      <c r="C277" s="7" t="s">
        <v>4692</v>
      </c>
      <c r="D277" s="7" t="s">
        <v>382</v>
      </c>
      <c r="E277" s="7" t="s">
        <v>4295</v>
      </c>
      <c r="F277" s="7" t="s">
        <v>4294</v>
      </c>
      <c r="G277" s="7" t="s">
        <v>177</v>
      </c>
      <c r="H277" s="7" t="s">
        <v>178</v>
      </c>
      <c r="I277" s="7" t="s">
        <v>2581</v>
      </c>
      <c r="J277" s="209">
        <v>69600</v>
      </c>
      <c r="K277" s="209">
        <v>17400</v>
      </c>
      <c r="L277" s="209">
        <v>0</v>
      </c>
      <c r="M277" s="209">
        <v>87000</v>
      </c>
      <c r="N277" s="7" t="s">
        <v>225</v>
      </c>
      <c r="O277" s="7" t="s">
        <v>125</v>
      </c>
    </row>
    <row r="278" spans="1:15" s="224" customFormat="1" x14ac:dyDescent="0.25">
      <c r="A278" s="7" t="s">
        <v>1974</v>
      </c>
      <c r="B278" s="7" t="s">
        <v>18</v>
      </c>
      <c r="C278" s="7" t="s">
        <v>4692</v>
      </c>
      <c r="D278" s="7" t="s">
        <v>1977</v>
      </c>
      <c r="E278" s="7" t="s">
        <v>1976</v>
      </c>
      <c r="F278" s="7" t="s">
        <v>1976</v>
      </c>
      <c r="G278" s="7" t="s">
        <v>2345</v>
      </c>
      <c r="H278" s="7" t="s">
        <v>3631</v>
      </c>
      <c r="I278" s="7" t="s">
        <v>2284</v>
      </c>
      <c r="J278" s="209">
        <v>1222000</v>
      </c>
      <c r="K278" s="209">
        <v>305500</v>
      </c>
      <c r="L278" s="209">
        <v>363500</v>
      </c>
      <c r="M278" s="209">
        <v>1891000</v>
      </c>
      <c r="N278" s="7" t="s">
        <v>2286</v>
      </c>
      <c r="O278" s="7" t="s">
        <v>124</v>
      </c>
    </row>
    <row r="279" spans="1:15" s="224" customFormat="1" x14ac:dyDescent="0.25">
      <c r="A279" s="187" t="s">
        <v>756</v>
      </c>
      <c r="B279" s="61" t="s">
        <v>18</v>
      </c>
      <c r="C279" s="7" t="s">
        <v>4692</v>
      </c>
      <c r="D279" s="199" t="s">
        <v>933</v>
      </c>
      <c r="E279" s="199" t="s">
        <v>1000</v>
      </c>
      <c r="F279" s="199" t="s">
        <v>1108</v>
      </c>
      <c r="G279" s="7" t="s">
        <v>2345</v>
      </c>
      <c r="H279" s="199" t="s">
        <v>75</v>
      </c>
      <c r="I279" s="199" t="s">
        <v>2581</v>
      </c>
      <c r="J279" s="235">
        <v>150063</v>
      </c>
      <c r="K279" s="211">
        <v>37515</v>
      </c>
      <c r="L279" s="211">
        <v>0</v>
      </c>
      <c r="M279" s="235">
        <v>187578</v>
      </c>
      <c r="N279" s="61" t="s">
        <v>4624</v>
      </c>
      <c r="O279" s="61" t="s">
        <v>125</v>
      </c>
    </row>
    <row r="280" spans="1:15" s="224" customFormat="1" x14ac:dyDescent="0.25">
      <c r="A280" s="7" t="s">
        <v>3716</v>
      </c>
      <c r="B280" s="7" t="s">
        <v>18</v>
      </c>
      <c r="C280" s="7" t="s">
        <v>4692</v>
      </c>
      <c r="D280" s="7" t="s">
        <v>3715</v>
      </c>
      <c r="E280" s="7" t="s">
        <v>1014</v>
      </c>
      <c r="F280" s="7" t="s">
        <v>3714</v>
      </c>
      <c r="G280" s="7" t="s">
        <v>2345</v>
      </c>
      <c r="H280" s="7" t="s">
        <v>74</v>
      </c>
      <c r="I280" s="7" t="s">
        <v>2581</v>
      </c>
      <c r="J280" s="209">
        <v>515744</v>
      </c>
      <c r="K280" s="209">
        <v>128936</v>
      </c>
      <c r="L280" s="209">
        <v>0</v>
      </c>
      <c r="M280" s="209">
        <v>644680</v>
      </c>
      <c r="N280" s="7" t="s">
        <v>4624</v>
      </c>
      <c r="O280" s="7" t="s">
        <v>124</v>
      </c>
    </row>
    <row r="281" spans="1:15" s="224" customFormat="1" x14ac:dyDescent="0.25">
      <c r="A281" s="7" t="s">
        <v>3716</v>
      </c>
      <c r="B281" s="7" t="s">
        <v>18</v>
      </c>
      <c r="C281" s="7" t="s">
        <v>4692</v>
      </c>
      <c r="D281" s="7" t="s">
        <v>3715</v>
      </c>
      <c r="E281" s="7" t="s">
        <v>1014</v>
      </c>
      <c r="F281" s="7" t="s">
        <v>3714</v>
      </c>
      <c r="G281" s="7" t="s">
        <v>177</v>
      </c>
      <c r="H281" s="7" t="s">
        <v>178</v>
      </c>
      <c r="I281" s="7" t="s">
        <v>2581</v>
      </c>
      <c r="J281" s="209">
        <v>75567</v>
      </c>
      <c r="K281" s="209">
        <v>18891.8</v>
      </c>
      <c r="L281" s="209">
        <v>0</v>
      </c>
      <c r="M281" s="209">
        <v>94459</v>
      </c>
      <c r="N281" s="7" t="s">
        <v>4624</v>
      </c>
      <c r="O281" s="7" t="s">
        <v>124</v>
      </c>
    </row>
    <row r="282" spans="1:15" s="224" customFormat="1" x14ac:dyDescent="0.25">
      <c r="A282" s="7" t="s">
        <v>4423</v>
      </c>
      <c r="B282" s="7" t="s">
        <v>18</v>
      </c>
      <c r="C282" s="7" t="s">
        <v>4692</v>
      </c>
      <c r="D282" s="7" t="s">
        <v>933</v>
      </c>
      <c r="E282" s="7" t="s">
        <v>4422</v>
      </c>
      <c r="F282" s="7" t="s">
        <v>4421</v>
      </c>
      <c r="G282" s="7" t="s">
        <v>117</v>
      </c>
      <c r="H282" s="7" t="s">
        <v>119</v>
      </c>
      <c r="I282" s="7" t="s">
        <v>2581</v>
      </c>
      <c r="J282" s="209">
        <v>54400</v>
      </c>
      <c r="K282" s="209">
        <v>13600</v>
      </c>
      <c r="L282" s="209">
        <v>0</v>
      </c>
      <c r="M282" s="209">
        <v>68000</v>
      </c>
      <c r="N282" s="7" t="s">
        <v>4625</v>
      </c>
      <c r="O282" s="7" t="s">
        <v>125</v>
      </c>
    </row>
    <row r="283" spans="1:15" s="224" customFormat="1" x14ac:dyDescent="0.25">
      <c r="A283" s="7" t="s">
        <v>3277</v>
      </c>
      <c r="B283" s="7" t="s">
        <v>18</v>
      </c>
      <c r="C283" s="7" t="s">
        <v>4692</v>
      </c>
      <c r="D283" s="7" t="s">
        <v>951</v>
      </c>
      <c r="E283" s="7" t="s">
        <v>3276</v>
      </c>
      <c r="F283" s="7" t="s">
        <v>3275</v>
      </c>
      <c r="G283" s="7" t="s">
        <v>2345</v>
      </c>
      <c r="H283" s="7" t="s">
        <v>74</v>
      </c>
      <c r="I283" s="7" t="s">
        <v>2581</v>
      </c>
      <c r="J283" s="209">
        <v>1868799</v>
      </c>
      <c r="K283" s="209">
        <v>645212.20000000007</v>
      </c>
      <c r="L283" s="209">
        <v>712049.79999999981</v>
      </c>
      <c r="M283" s="209">
        <v>3226061</v>
      </c>
      <c r="N283" s="7" t="s">
        <v>225</v>
      </c>
      <c r="O283" s="7" t="s">
        <v>125</v>
      </c>
    </row>
    <row r="284" spans="1:15" s="224" customFormat="1" x14ac:dyDescent="0.25">
      <c r="A284" s="7" t="s">
        <v>3277</v>
      </c>
      <c r="B284" s="7" t="s">
        <v>18</v>
      </c>
      <c r="C284" s="7" t="s">
        <v>4692</v>
      </c>
      <c r="D284" s="7" t="s">
        <v>951</v>
      </c>
      <c r="E284" s="7" t="s">
        <v>3276</v>
      </c>
      <c r="F284" s="7" t="s">
        <v>3275</v>
      </c>
      <c r="G284" s="7" t="s">
        <v>177</v>
      </c>
      <c r="H284" s="7" t="s">
        <v>178</v>
      </c>
      <c r="I284" s="7" t="s">
        <v>2581</v>
      </c>
      <c r="J284" s="209">
        <v>139801</v>
      </c>
      <c r="K284" s="209">
        <v>34950.400000000001</v>
      </c>
      <c r="L284" s="209">
        <v>0</v>
      </c>
      <c r="M284" s="209">
        <v>174752</v>
      </c>
      <c r="N284" s="7" t="s">
        <v>225</v>
      </c>
      <c r="O284" s="7" t="s">
        <v>125</v>
      </c>
    </row>
    <row r="285" spans="1:15" s="224" customFormat="1" x14ac:dyDescent="0.25">
      <c r="A285" s="187" t="s">
        <v>777</v>
      </c>
      <c r="B285" s="61" t="s">
        <v>18</v>
      </c>
      <c r="C285" s="7" t="s">
        <v>4692</v>
      </c>
      <c r="D285" s="199" t="s">
        <v>940</v>
      </c>
      <c r="E285" s="199" t="s">
        <v>1014</v>
      </c>
      <c r="F285" s="199" t="s">
        <v>1123</v>
      </c>
      <c r="G285" s="7" t="s">
        <v>2345</v>
      </c>
      <c r="H285" s="199" t="s">
        <v>74</v>
      </c>
      <c r="I285" s="199" t="s">
        <v>2581</v>
      </c>
      <c r="J285" s="235">
        <v>26000</v>
      </c>
      <c r="K285" s="211">
        <v>6500</v>
      </c>
      <c r="L285" s="211">
        <v>0</v>
      </c>
      <c r="M285" s="235">
        <v>32500</v>
      </c>
      <c r="N285" s="61" t="s">
        <v>225</v>
      </c>
      <c r="O285" s="61" t="s">
        <v>125</v>
      </c>
    </row>
    <row r="286" spans="1:15" s="224" customFormat="1" x14ac:dyDescent="0.25">
      <c r="A286" s="7" t="s">
        <v>4209</v>
      </c>
      <c r="B286" s="7" t="s">
        <v>18</v>
      </c>
      <c r="C286" s="7" t="s">
        <v>4692</v>
      </c>
      <c r="D286" s="7" t="s">
        <v>3611</v>
      </c>
      <c r="E286" s="7" t="s">
        <v>41</v>
      </c>
      <c r="F286" s="7" t="s">
        <v>4208</v>
      </c>
      <c r="G286" s="7" t="s">
        <v>2345</v>
      </c>
      <c r="H286" s="7" t="s">
        <v>4207</v>
      </c>
      <c r="I286" s="7" t="s">
        <v>1278</v>
      </c>
      <c r="J286" s="209">
        <v>108480</v>
      </c>
      <c r="K286" s="209">
        <v>27120</v>
      </c>
      <c r="L286" s="209">
        <v>0</v>
      </c>
      <c r="M286" s="209">
        <v>135600</v>
      </c>
      <c r="N286" s="7" t="s">
        <v>4623</v>
      </c>
      <c r="O286" s="7" t="s">
        <v>124</v>
      </c>
    </row>
    <row r="287" spans="1:15" s="224" customFormat="1" ht="30" x14ac:dyDescent="0.25">
      <c r="A287" s="176" t="s">
        <v>3416</v>
      </c>
      <c r="B287" t="s">
        <v>18</v>
      </c>
      <c r="C287" s="7" t="s">
        <v>4692</v>
      </c>
      <c r="D287" t="s">
        <v>3415</v>
      </c>
      <c r="E287" s="4" t="s">
        <v>3414</v>
      </c>
      <c r="F287" t="s">
        <v>3414</v>
      </c>
      <c r="G287" s="7" t="s">
        <v>2345</v>
      </c>
      <c r="H287" s="7" t="s">
        <v>1934</v>
      </c>
      <c r="I287" s="7" t="s">
        <v>2581</v>
      </c>
      <c r="J287" s="209">
        <v>12959</v>
      </c>
      <c r="K287" s="209">
        <v>3239.8</v>
      </c>
      <c r="L287" s="209">
        <v>0</v>
      </c>
      <c r="M287" s="209">
        <v>16199</v>
      </c>
      <c r="N287" s="7" t="s">
        <v>4616</v>
      </c>
      <c r="O287" s="7" t="s">
        <v>124</v>
      </c>
    </row>
    <row r="288" spans="1:15" s="224" customFormat="1" x14ac:dyDescent="0.25">
      <c r="A288" s="7" t="s">
        <v>3416</v>
      </c>
      <c r="B288" s="7" t="s">
        <v>18</v>
      </c>
      <c r="C288" s="7" t="s">
        <v>4692</v>
      </c>
      <c r="D288" s="7" t="s">
        <v>3415</v>
      </c>
      <c r="E288" s="7" t="s">
        <v>3414</v>
      </c>
      <c r="F288" s="7" t="s">
        <v>3414</v>
      </c>
      <c r="G288" s="7" t="s">
        <v>177</v>
      </c>
      <c r="H288" s="7" t="s">
        <v>178</v>
      </c>
      <c r="I288" s="7" t="s">
        <v>2653</v>
      </c>
      <c r="J288" s="209">
        <v>19200</v>
      </c>
      <c r="K288" s="209">
        <v>4800</v>
      </c>
      <c r="L288" s="209">
        <v>0</v>
      </c>
      <c r="M288" s="209">
        <v>24000</v>
      </c>
      <c r="N288" s="7" t="s">
        <v>4616</v>
      </c>
      <c r="O288" s="7" t="s">
        <v>124</v>
      </c>
    </row>
    <row r="289" spans="1:15" s="224" customFormat="1" x14ac:dyDescent="0.25">
      <c r="A289" s="7" t="s">
        <v>3416</v>
      </c>
      <c r="B289" s="7" t="s">
        <v>18</v>
      </c>
      <c r="C289" s="7" t="s">
        <v>4692</v>
      </c>
      <c r="D289" s="7" t="s">
        <v>3415</v>
      </c>
      <c r="E289" s="7" t="s">
        <v>3414</v>
      </c>
      <c r="F289" s="7" t="s">
        <v>3414</v>
      </c>
      <c r="G289" s="7" t="s">
        <v>2345</v>
      </c>
      <c r="H289" s="7" t="s">
        <v>3118</v>
      </c>
      <c r="I289" s="7" t="s">
        <v>2653</v>
      </c>
      <c r="J289" s="209">
        <v>122400</v>
      </c>
      <c r="K289" s="209">
        <v>30600</v>
      </c>
      <c r="L289" s="209">
        <v>0</v>
      </c>
      <c r="M289" s="209">
        <v>153000</v>
      </c>
      <c r="N289" s="7" t="s">
        <v>4616</v>
      </c>
      <c r="O289" s="7" t="s">
        <v>124</v>
      </c>
    </row>
    <row r="290" spans="1:15" s="224" customFormat="1" x14ac:dyDescent="0.25">
      <c r="A290" s="7" t="s">
        <v>4443</v>
      </c>
      <c r="B290" s="7" t="s">
        <v>18</v>
      </c>
      <c r="C290" s="7" t="s">
        <v>4692</v>
      </c>
      <c r="D290" s="7" t="s">
        <v>4442</v>
      </c>
      <c r="E290" s="7" t="s">
        <v>4441</v>
      </c>
      <c r="F290" s="7" t="s">
        <v>4421</v>
      </c>
      <c r="G290" s="7" t="s">
        <v>117</v>
      </c>
      <c r="H290" s="7" t="s">
        <v>119</v>
      </c>
      <c r="I290" s="7" t="s">
        <v>1277</v>
      </c>
      <c r="J290" s="209">
        <v>67200</v>
      </c>
      <c r="K290" s="209">
        <v>16800</v>
      </c>
      <c r="L290" s="209">
        <v>0</v>
      </c>
      <c r="M290" s="209">
        <v>84000</v>
      </c>
      <c r="N290" s="7" t="s">
        <v>4625</v>
      </c>
      <c r="O290" s="7" t="s">
        <v>125</v>
      </c>
    </row>
    <row r="291" spans="1:15" s="224" customFormat="1" x14ac:dyDescent="0.25">
      <c r="A291" s="7" t="s">
        <v>3612</v>
      </c>
      <c r="B291" s="7" t="s">
        <v>18</v>
      </c>
      <c r="C291" s="7" t="s">
        <v>4692</v>
      </c>
      <c r="D291" s="7" t="s">
        <v>3611</v>
      </c>
      <c r="E291" s="7" t="s">
        <v>3610</v>
      </c>
      <c r="F291" s="7" t="s">
        <v>3609</v>
      </c>
      <c r="G291" s="7" t="s">
        <v>117</v>
      </c>
      <c r="H291" s="7" t="s">
        <v>75</v>
      </c>
      <c r="I291" s="7" t="s">
        <v>2581</v>
      </c>
      <c r="J291" s="209">
        <v>58730</v>
      </c>
      <c r="K291" s="209">
        <v>14682.5</v>
      </c>
      <c r="L291" s="209">
        <v>10487.5</v>
      </c>
      <c r="M291" s="209">
        <v>83900</v>
      </c>
      <c r="N291" s="7" t="s">
        <v>4624</v>
      </c>
      <c r="O291" s="7" t="s">
        <v>124</v>
      </c>
    </row>
    <row r="292" spans="1:15" s="224" customFormat="1" x14ac:dyDescent="0.25">
      <c r="A292" s="7" t="s">
        <v>3656</v>
      </c>
      <c r="B292" s="7" t="s">
        <v>18</v>
      </c>
      <c r="C292" s="7" t="s">
        <v>4692</v>
      </c>
      <c r="D292" s="7" t="s">
        <v>3655</v>
      </c>
      <c r="E292" s="7" t="s">
        <v>3654</v>
      </c>
      <c r="F292" s="7" t="s">
        <v>3653</v>
      </c>
      <c r="G292" s="7" t="s">
        <v>2345</v>
      </c>
      <c r="H292" s="7" t="s">
        <v>74</v>
      </c>
      <c r="I292" s="7" t="s">
        <v>2581</v>
      </c>
      <c r="J292" s="209">
        <v>732448</v>
      </c>
      <c r="K292" s="209">
        <v>183112</v>
      </c>
      <c r="L292" s="209">
        <v>60795</v>
      </c>
      <c r="M292" s="209">
        <v>976355</v>
      </c>
      <c r="N292" s="7" t="s">
        <v>225</v>
      </c>
      <c r="O292" s="7" t="s">
        <v>125</v>
      </c>
    </row>
    <row r="293" spans="1:15" s="224" customFormat="1" x14ac:dyDescent="0.25">
      <c r="A293" s="7" t="s">
        <v>3656</v>
      </c>
      <c r="B293" s="7" t="s">
        <v>18</v>
      </c>
      <c r="C293" s="7" t="s">
        <v>4692</v>
      </c>
      <c r="D293" s="7" t="s">
        <v>3655</v>
      </c>
      <c r="E293" s="7" t="s">
        <v>3654</v>
      </c>
      <c r="F293" s="7" t="s">
        <v>3653</v>
      </c>
      <c r="G293" s="7" t="s">
        <v>177</v>
      </c>
      <c r="H293" s="7" t="s">
        <v>178</v>
      </c>
      <c r="I293" s="7" t="s">
        <v>2581</v>
      </c>
      <c r="J293" s="209">
        <v>59500</v>
      </c>
      <c r="K293" s="209">
        <v>14875</v>
      </c>
      <c r="L293" s="209">
        <v>10625</v>
      </c>
      <c r="M293" s="209">
        <v>85000</v>
      </c>
      <c r="N293" s="7" t="s">
        <v>225</v>
      </c>
      <c r="O293" s="7" t="s">
        <v>125</v>
      </c>
    </row>
    <row r="294" spans="1:15" s="224" customFormat="1" x14ac:dyDescent="0.25">
      <c r="A294" s="223" t="s">
        <v>381</v>
      </c>
      <c r="B294" s="224" t="s">
        <v>90</v>
      </c>
      <c r="C294" s="224" t="s">
        <v>4692</v>
      </c>
      <c r="D294" s="225" t="s">
        <v>382</v>
      </c>
      <c r="E294" s="224" t="s">
        <v>379</v>
      </c>
      <c r="F294" s="224" t="s">
        <v>348</v>
      </c>
      <c r="G294" s="224" t="s">
        <v>73</v>
      </c>
      <c r="H294" s="224" t="s">
        <v>245</v>
      </c>
      <c r="I294" s="224" t="s">
        <v>224</v>
      </c>
      <c r="J294" s="226"/>
      <c r="K294" s="226"/>
      <c r="L294" s="226">
        <v>389609.66</v>
      </c>
      <c r="M294" s="226">
        <v>389609.66</v>
      </c>
      <c r="N294" s="224" t="s">
        <v>323</v>
      </c>
      <c r="O294" s="224" t="s">
        <v>124</v>
      </c>
    </row>
    <row r="295" spans="1:15" s="224" customFormat="1" x14ac:dyDescent="0.25">
      <c r="A295" s="223" t="s">
        <v>381</v>
      </c>
      <c r="B295" s="224" t="s">
        <v>90</v>
      </c>
      <c r="C295" s="224" t="s">
        <v>4692</v>
      </c>
      <c r="D295" s="225" t="s">
        <v>382</v>
      </c>
      <c r="E295" s="224" t="s">
        <v>379</v>
      </c>
      <c r="F295" s="224" t="s">
        <v>348</v>
      </c>
      <c r="G295" s="224" t="s">
        <v>212</v>
      </c>
      <c r="H295" s="224" t="s">
        <v>213</v>
      </c>
      <c r="I295" s="224" t="s">
        <v>224</v>
      </c>
      <c r="J295" s="226"/>
      <c r="K295" s="226"/>
      <c r="L295" s="226">
        <v>892000</v>
      </c>
      <c r="M295" s="226">
        <v>892000</v>
      </c>
      <c r="N295" s="224" t="s">
        <v>323</v>
      </c>
      <c r="O295" s="224" t="s">
        <v>124</v>
      </c>
    </row>
    <row r="296" spans="1:15" s="224" customFormat="1" x14ac:dyDescent="0.25">
      <c r="A296" s="223" t="s">
        <v>383</v>
      </c>
      <c r="B296" s="224" t="s">
        <v>18</v>
      </c>
      <c r="C296" s="224" t="s">
        <v>4692</v>
      </c>
      <c r="D296" s="225" t="s">
        <v>384</v>
      </c>
      <c r="E296" s="224" t="s">
        <v>385</v>
      </c>
      <c r="F296" s="224" t="s">
        <v>386</v>
      </c>
      <c r="G296" s="224" t="s">
        <v>73</v>
      </c>
      <c r="H296" s="224" t="s">
        <v>245</v>
      </c>
      <c r="I296" s="224" t="s">
        <v>220</v>
      </c>
      <c r="J296" s="226"/>
      <c r="K296" s="226"/>
      <c r="L296" s="226">
        <v>225749.32</v>
      </c>
      <c r="M296" s="226">
        <v>225749.32</v>
      </c>
      <c r="N296" s="224" t="s">
        <v>387</v>
      </c>
      <c r="O296" s="224" t="s">
        <v>124</v>
      </c>
    </row>
    <row r="297" spans="1:15" s="224" customFormat="1" x14ac:dyDescent="0.25">
      <c r="A297" s="187" t="s">
        <v>748</v>
      </c>
      <c r="B297" s="61" t="s">
        <v>18</v>
      </c>
      <c r="C297" s="61" t="s">
        <v>2576</v>
      </c>
      <c r="D297" s="199" t="s">
        <v>929</v>
      </c>
      <c r="E297" s="199" t="s">
        <v>993</v>
      </c>
      <c r="F297" s="199" t="s">
        <v>1100</v>
      </c>
      <c r="G297" s="7" t="s">
        <v>2345</v>
      </c>
      <c r="H297" s="199" t="s">
        <v>4739</v>
      </c>
      <c r="I297" s="199" t="s">
        <v>2581</v>
      </c>
      <c r="J297" s="235">
        <v>33799.089999999997</v>
      </c>
      <c r="K297" s="211">
        <v>26287.910000000003</v>
      </c>
      <c r="L297" s="211">
        <v>0</v>
      </c>
      <c r="M297" s="235">
        <v>60087</v>
      </c>
      <c r="N297" s="61" t="s">
        <v>225</v>
      </c>
      <c r="O297" s="61" t="s">
        <v>125</v>
      </c>
    </row>
    <row r="298" spans="1:15" s="224" customFormat="1" x14ac:dyDescent="0.25">
      <c r="A298" s="223" t="s">
        <v>388</v>
      </c>
      <c r="B298" s="224" t="s">
        <v>90</v>
      </c>
      <c r="C298" s="224" t="s">
        <v>2576</v>
      </c>
      <c r="D298" s="225" t="s">
        <v>389</v>
      </c>
      <c r="E298" s="224" t="s">
        <v>390</v>
      </c>
      <c r="F298" s="224" t="s">
        <v>391</v>
      </c>
      <c r="G298" s="224" t="s">
        <v>177</v>
      </c>
      <c r="H298" s="224" t="s">
        <v>178</v>
      </c>
      <c r="I298" s="224" t="s">
        <v>224</v>
      </c>
      <c r="J298" s="226"/>
      <c r="K298" s="226"/>
      <c r="L298" s="226">
        <v>4188581</v>
      </c>
      <c r="M298" s="226">
        <v>4188581</v>
      </c>
      <c r="N298" s="224" t="s">
        <v>79</v>
      </c>
      <c r="O298" s="224" t="s">
        <v>124</v>
      </c>
    </row>
    <row r="299" spans="1:15" s="224" customFormat="1" x14ac:dyDescent="0.25">
      <c r="A299" s="7" t="s">
        <v>3094</v>
      </c>
      <c r="B299" s="7" t="s">
        <v>18</v>
      </c>
      <c r="C299" s="7" t="s">
        <v>2576</v>
      </c>
      <c r="D299" s="7" t="s">
        <v>3093</v>
      </c>
      <c r="E299" s="7" t="s">
        <v>3092</v>
      </c>
      <c r="F299" s="7" t="s">
        <v>3092</v>
      </c>
      <c r="G299" s="7" t="s">
        <v>2345</v>
      </c>
      <c r="H299" s="7" t="s">
        <v>3091</v>
      </c>
      <c r="I299" s="7" t="s">
        <v>867</v>
      </c>
      <c r="J299" s="209">
        <v>2146121</v>
      </c>
      <c r="K299" s="209">
        <v>536530.20000000007</v>
      </c>
      <c r="L299" s="209">
        <v>0</v>
      </c>
      <c r="M299" s="209">
        <v>2682651</v>
      </c>
      <c r="N299" s="7" t="s">
        <v>2286</v>
      </c>
      <c r="O299" s="7" t="s">
        <v>124</v>
      </c>
    </row>
    <row r="300" spans="1:15" s="224" customFormat="1" x14ac:dyDescent="0.25">
      <c r="A300" s="7" t="s">
        <v>3094</v>
      </c>
      <c r="B300" s="7" t="s">
        <v>18</v>
      </c>
      <c r="C300" s="7" t="s">
        <v>2576</v>
      </c>
      <c r="D300" s="7" t="s">
        <v>3093</v>
      </c>
      <c r="E300" s="7" t="s">
        <v>3092</v>
      </c>
      <c r="F300" s="7" t="s">
        <v>3092</v>
      </c>
      <c r="G300" s="7" t="s">
        <v>177</v>
      </c>
      <c r="H300" s="7" t="s">
        <v>178</v>
      </c>
      <c r="I300" s="7" t="s">
        <v>867</v>
      </c>
      <c r="J300" s="209">
        <v>257534</v>
      </c>
      <c r="K300" s="209">
        <v>64383.8</v>
      </c>
      <c r="L300" s="209">
        <v>0</v>
      </c>
      <c r="M300" s="209">
        <v>321919</v>
      </c>
      <c r="N300" s="7" t="s">
        <v>2286</v>
      </c>
      <c r="O300" s="7" t="s">
        <v>124</v>
      </c>
    </row>
    <row r="301" spans="1:15" s="224" customFormat="1" x14ac:dyDescent="0.25">
      <c r="A301" s="187" t="s">
        <v>4613</v>
      </c>
      <c r="B301" s="61" t="s">
        <v>90</v>
      </c>
      <c r="C301" s="61" t="s">
        <v>2576</v>
      </c>
      <c r="D301" s="199" t="s">
        <v>247</v>
      </c>
      <c r="E301" s="199" t="s">
        <v>1042</v>
      </c>
      <c r="F301" s="199" t="s">
        <v>1153</v>
      </c>
      <c r="G301" s="7" t="s">
        <v>2345</v>
      </c>
      <c r="H301" s="199" t="s">
        <v>4742</v>
      </c>
      <c r="I301" s="199" t="s">
        <v>1276</v>
      </c>
      <c r="J301" s="235">
        <v>4241.3</v>
      </c>
      <c r="K301" s="211">
        <v>0</v>
      </c>
      <c r="L301" s="211">
        <v>0</v>
      </c>
      <c r="M301" s="235">
        <v>4241</v>
      </c>
      <c r="N301" s="61" t="s">
        <v>225</v>
      </c>
      <c r="O301" s="61" t="s">
        <v>125</v>
      </c>
    </row>
    <row r="302" spans="1:15" s="224" customFormat="1" x14ac:dyDescent="0.25">
      <c r="A302" s="223" t="s">
        <v>246</v>
      </c>
      <c r="B302" s="224" t="s">
        <v>18</v>
      </c>
      <c r="C302" s="224" t="s">
        <v>2576</v>
      </c>
      <c r="D302" s="225" t="s">
        <v>247</v>
      </c>
      <c r="E302" s="224" t="s">
        <v>248</v>
      </c>
      <c r="F302" s="228" t="s">
        <v>249</v>
      </c>
      <c r="G302" s="224" t="s">
        <v>212</v>
      </c>
      <c r="H302" s="224" t="s">
        <v>213</v>
      </c>
      <c r="I302" s="224" t="s">
        <v>224</v>
      </c>
      <c r="J302" s="226"/>
      <c r="K302" s="226"/>
      <c r="L302" s="226">
        <v>353255</v>
      </c>
      <c r="M302" s="226">
        <v>353255</v>
      </c>
      <c r="N302" s="224" t="s">
        <v>4624</v>
      </c>
      <c r="O302" s="224" t="s">
        <v>124</v>
      </c>
    </row>
    <row r="303" spans="1:15" s="224" customFormat="1" x14ac:dyDescent="0.25">
      <c r="A303" s="187" t="s">
        <v>745</v>
      </c>
      <c r="B303" s="61" t="s">
        <v>18</v>
      </c>
      <c r="C303" s="61" t="s">
        <v>2576</v>
      </c>
      <c r="D303" s="199" t="s">
        <v>927</v>
      </c>
      <c r="E303" s="199" t="s">
        <v>990</v>
      </c>
      <c r="F303" s="199" t="s">
        <v>1097</v>
      </c>
      <c r="G303" s="7" t="s">
        <v>2345</v>
      </c>
      <c r="H303" s="199" t="s">
        <v>74</v>
      </c>
      <c r="I303" s="199" t="s">
        <v>2581</v>
      </c>
      <c r="J303" s="235">
        <v>58500</v>
      </c>
      <c r="K303" s="211">
        <v>19500</v>
      </c>
      <c r="L303" s="211">
        <v>0</v>
      </c>
      <c r="M303" s="235">
        <v>78000</v>
      </c>
      <c r="N303" s="61" t="s">
        <v>225</v>
      </c>
      <c r="O303" s="61" t="s">
        <v>125</v>
      </c>
    </row>
    <row r="304" spans="1:15" s="224" customFormat="1" x14ac:dyDescent="0.25">
      <c r="A304" s="187" t="s">
        <v>737</v>
      </c>
      <c r="B304" s="61" t="s">
        <v>18</v>
      </c>
      <c r="C304" s="61" t="s">
        <v>2576</v>
      </c>
      <c r="D304" s="199" t="s">
        <v>920</v>
      </c>
      <c r="E304" s="199" t="s">
        <v>983</v>
      </c>
      <c r="F304" s="199" t="s">
        <v>1089</v>
      </c>
      <c r="G304" s="7" t="s">
        <v>2345</v>
      </c>
      <c r="H304" s="199" t="s">
        <v>1202</v>
      </c>
      <c r="I304" s="199" t="s">
        <v>2581</v>
      </c>
      <c r="J304" s="235">
        <v>1125287</v>
      </c>
      <c r="K304" s="211">
        <v>375096</v>
      </c>
      <c r="L304" s="211">
        <v>0</v>
      </c>
      <c r="M304" s="235">
        <v>1500383</v>
      </c>
      <c r="N304" s="61" t="s">
        <v>4622</v>
      </c>
      <c r="O304" s="61" t="s">
        <v>125</v>
      </c>
    </row>
    <row r="305" spans="1:15" s="224" customFormat="1" x14ac:dyDescent="0.25">
      <c r="A305" s="187" t="s">
        <v>737</v>
      </c>
      <c r="B305" s="61" t="s">
        <v>18</v>
      </c>
      <c r="C305" s="61" t="s">
        <v>2576</v>
      </c>
      <c r="D305" s="199" t="s">
        <v>920</v>
      </c>
      <c r="E305" s="199" t="s">
        <v>983</v>
      </c>
      <c r="F305" s="199" t="s">
        <v>1089</v>
      </c>
      <c r="G305" s="7" t="s">
        <v>2345</v>
      </c>
      <c r="H305" s="199" t="s">
        <v>1202</v>
      </c>
      <c r="I305" s="199" t="s">
        <v>2581</v>
      </c>
      <c r="J305" s="235">
        <v>703787</v>
      </c>
      <c r="K305" s="211">
        <v>234595</v>
      </c>
      <c r="L305" s="211">
        <v>0</v>
      </c>
      <c r="M305" s="235">
        <v>938382</v>
      </c>
      <c r="N305" s="61" t="s">
        <v>79</v>
      </c>
      <c r="O305" s="61" t="s">
        <v>125</v>
      </c>
    </row>
    <row r="306" spans="1:15" s="224" customFormat="1" x14ac:dyDescent="0.25">
      <c r="A306" s="187" t="s">
        <v>830</v>
      </c>
      <c r="B306" s="61" t="s">
        <v>90</v>
      </c>
      <c r="C306" s="61" t="s">
        <v>2576</v>
      </c>
      <c r="D306" s="199" t="s">
        <v>964</v>
      </c>
      <c r="E306" s="199" t="s">
        <v>1052</v>
      </c>
      <c r="F306" s="199" t="s">
        <v>41</v>
      </c>
      <c r="G306" s="7" t="s">
        <v>2345</v>
      </c>
      <c r="H306" s="7" t="s">
        <v>1199</v>
      </c>
      <c r="I306" s="199" t="s">
        <v>1276</v>
      </c>
      <c r="J306" s="235">
        <v>274554.93</v>
      </c>
      <c r="K306" s="211">
        <v>30506.070000000007</v>
      </c>
      <c r="L306" s="211">
        <v>0</v>
      </c>
      <c r="M306" s="235">
        <v>305061</v>
      </c>
      <c r="N306" s="61" t="s">
        <v>4624</v>
      </c>
      <c r="O306" s="61" t="s">
        <v>124</v>
      </c>
    </row>
    <row r="307" spans="1:15" s="224" customFormat="1" x14ac:dyDescent="0.25">
      <c r="A307" s="7" t="s">
        <v>1979</v>
      </c>
      <c r="B307" s="7" t="s">
        <v>18</v>
      </c>
      <c r="C307" s="7" t="s">
        <v>2576</v>
      </c>
      <c r="D307" s="7" t="s">
        <v>2575</v>
      </c>
      <c r="E307" s="7" t="s">
        <v>1981</v>
      </c>
      <c r="F307" s="7" t="s">
        <v>1981</v>
      </c>
      <c r="G307" s="224" t="s">
        <v>212</v>
      </c>
      <c r="H307" s="7" t="s">
        <v>213</v>
      </c>
      <c r="I307" s="7" t="s">
        <v>2284</v>
      </c>
      <c r="J307" s="209">
        <v>98054</v>
      </c>
      <c r="K307" s="209">
        <v>24513.4</v>
      </c>
      <c r="L307" s="209">
        <v>0</v>
      </c>
      <c r="M307" s="209">
        <v>122567</v>
      </c>
      <c r="N307" s="7" t="s">
        <v>2286</v>
      </c>
      <c r="O307" s="7" t="s">
        <v>124</v>
      </c>
    </row>
    <row r="308" spans="1:15" s="224" customFormat="1" x14ac:dyDescent="0.25">
      <c r="A308" s="7" t="s">
        <v>2656</v>
      </c>
      <c r="B308" s="7" t="s">
        <v>18</v>
      </c>
      <c r="C308" s="7" t="s">
        <v>2576</v>
      </c>
      <c r="D308" s="7" t="s">
        <v>920</v>
      </c>
      <c r="E308" s="7" t="s">
        <v>2655</v>
      </c>
      <c r="F308" s="7" t="s">
        <v>2655</v>
      </c>
      <c r="G308" s="7" t="s">
        <v>177</v>
      </c>
      <c r="H308" s="7" t="s">
        <v>178</v>
      </c>
      <c r="I308" s="7" t="s">
        <v>2653</v>
      </c>
      <c r="J308" s="209">
        <v>44000</v>
      </c>
      <c r="K308" s="209">
        <v>15000</v>
      </c>
      <c r="L308" s="209">
        <v>16000</v>
      </c>
      <c r="M308" s="209">
        <v>75000</v>
      </c>
      <c r="N308" s="7" t="s">
        <v>2286</v>
      </c>
      <c r="O308" s="7" t="s">
        <v>124</v>
      </c>
    </row>
    <row r="309" spans="1:15" s="224" customFormat="1" x14ac:dyDescent="0.25">
      <c r="A309" s="7" t="s">
        <v>2656</v>
      </c>
      <c r="B309" s="7" t="s">
        <v>18</v>
      </c>
      <c r="C309" s="7" t="s">
        <v>2576</v>
      </c>
      <c r="D309" s="7" t="s">
        <v>920</v>
      </c>
      <c r="E309" s="7" t="s">
        <v>2655</v>
      </c>
      <c r="F309" s="7" t="s">
        <v>2655</v>
      </c>
      <c r="G309" s="7" t="s">
        <v>2345</v>
      </c>
      <c r="H309" s="7" t="s">
        <v>2654</v>
      </c>
      <c r="I309" s="7" t="s">
        <v>2653</v>
      </c>
      <c r="J309" s="209">
        <v>555894</v>
      </c>
      <c r="K309" s="209">
        <v>189390</v>
      </c>
      <c r="L309" s="209">
        <v>201666</v>
      </c>
      <c r="M309" s="209">
        <v>946950</v>
      </c>
      <c r="N309" s="7" t="s">
        <v>2286</v>
      </c>
      <c r="O309" s="7" t="s">
        <v>124</v>
      </c>
    </row>
    <row r="310" spans="1:15" s="224" customFormat="1" x14ac:dyDescent="0.25">
      <c r="A310" s="7" t="s">
        <v>4268</v>
      </c>
      <c r="B310" s="7" t="s">
        <v>18</v>
      </c>
      <c r="C310" s="7" t="s">
        <v>2576</v>
      </c>
      <c r="D310" s="7" t="s">
        <v>4267</v>
      </c>
      <c r="E310" s="7" t="s">
        <v>4266</v>
      </c>
      <c r="F310" s="7" t="s">
        <v>4265</v>
      </c>
      <c r="G310" s="7" t="s">
        <v>117</v>
      </c>
      <c r="H310" s="7" t="s">
        <v>119</v>
      </c>
      <c r="I310" s="7" t="s">
        <v>2653</v>
      </c>
      <c r="J310" s="209">
        <v>70386</v>
      </c>
      <c r="K310" s="209">
        <v>17596.400000000001</v>
      </c>
      <c r="L310" s="209">
        <v>0</v>
      </c>
      <c r="M310" s="209">
        <v>87982</v>
      </c>
      <c r="N310" s="7" t="s">
        <v>4616</v>
      </c>
      <c r="O310" s="7" t="s">
        <v>126</v>
      </c>
    </row>
    <row r="311" spans="1:15" s="224" customFormat="1" x14ac:dyDescent="0.25">
      <c r="A311" s="7" t="s">
        <v>2757</v>
      </c>
      <c r="B311" s="7" t="s">
        <v>18</v>
      </c>
      <c r="C311" s="7" t="s">
        <v>2576</v>
      </c>
      <c r="D311" s="7" t="s">
        <v>2575</v>
      </c>
      <c r="E311" s="7" t="s">
        <v>2756</v>
      </c>
      <c r="F311" s="7" t="s">
        <v>2755</v>
      </c>
      <c r="G311" s="224" t="s">
        <v>212</v>
      </c>
      <c r="H311" s="7" t="s">
        <v>213</v>
      </c>
      <c r="I311" s="7" t="s">
        <v>2581</v>
      </c>
      <c r="J311" s="209">
        <v>52500</v>
      </c>
      <c r="K311" s="209">
        <v>15000</v>
      </c>
      <c r="L311" s="209">
        <v>7500</v>
      </c>
      <c r="M311" s="209">
        <v>75000</v>
      </c>
      <c r="N311" s="7" t="s">
        <v>79</v>
      </c>
      <c r="O311" s="7" t="s">
        <v>124</v>
      </c>
    </row>
    <row r="312" spans="1:15" s="224" customFormat="1" x14ac:dyDescent="0.25">
      <c r="A312" s="7" t="s">
        <v>3647</v>
      </c>
      <c r="B312" s="7" t="s">
        <v>18</v>
      </c>
      <c r="C312" s="7" t="s">
        <v>2576</v>
      </c>
      <c r="D312" s="7" t="s">
        <v>920</v>
      </c>
      <c r="E312" s="7" t="s">
        <v>3646</v>
      </c>
      <c r="F312" s="7" t="s">
        <v>3645</v>
      </c>
      <c r="G312" s="7" t="s">
        <v>2345</v>
      </c>
      <c r="H312" s="7" t="s">
        <v>74</v>
      </c>
      <c r="I312" s="7" t="s">
        <v>2581</v>
      </c>
      <c r="J312" s="209">
        <v>752913</v>
      </c>
      <c r="K312" s="209">
        <v>188228.25</v>
      </c>
      <c r="L312" s="209">
        <v>393858.75</v>
      </c>
      <c r="M312" s="209">
        <v>1335000</v>
      </c>
      <c r="N312" s="7" t="s">
        <v>225</v>
      </c>
      <c r="O312" s="7" t="s">
        <v>125</v>
      </c>
    </row>
    <row r="313" spans="1:15" s="224" customFormat="1" x14ac:dyDescent="0.25">
      <c r="A313" s="7" t="s">
        <v>3647</v>
      </c>
      <c r="B313" s="7" t="s">
        <v>18</v>
      </c>
      <c r="C313" s="7" t="s">
        <v>2576</v>
      </c>
      <c r="D313" s="7" t="s">
        <v>920</v>
      </c>
      <c r="E313" s="7" t="s">
        <v>3646</v>
      </c>
      <c r="F313" s="7" t="s">
        <v>3645</v>
      </c>
      <c r="G313" s="7" t="s">
        <v>177</v>
      </c>
      <c r="H313" s="7" t="s">
        <v>178</v>
      </c>
      <c r="I313" s="7" t="s">
        <v>2581</v>
      </c>
      <c r="J313" s="209">
        <v>63000</v>
      </c>
      <c r="K313" s="209">
        <v>15750</v>
      </c>
      <c r="L313" s="209">
        <v>26250</v>
      </c>
      <c r="M313" s="209">
        <v>105000</v>
      </c>
      <c r="N313" s="7" t="s">
        <v>225</v>
      </c>
      <c r="O313" s="7" t="s">
        <v>125</v>
      </c>
    </row>
    <row r="314" spans="1:15" s="224" customFormat="1" x14ac:dyDescent="0.25">
      <c r="A314" s="7" t="s">
        <v>2765</v>
      </c>
      <c r="B314" s="7" t="s">
        <v>18</v>
      </c>
      <c r="C314" s="7" t="s">
        <v>2576</v>
      </c>
      <c r="D314" s="7" t="s">
        <v>929</v>
      </c>
      <c r="E314" s="7" t="s">
        <v>2764</v>
      </c>
      <c r="F314" s="7" t="s">
        <v>2763</v>
      </c>
      <c r="G314" s="7" t="s">
        <v>2345</v>
      </c>
      <c r="H314" s="7" t="s">
        <v>74</v>
      </c>
      <c r="I314" s="7" t="s">
        <v>867</v>
      </c>
      <c r="J314" s="209">
        <v>507172.72</v>
      </c>
      <c r="K314" s="209">
        <v>169057.655</v>
      </c>
      <c r="L314" s="209">
        <v>0</v>
      </c>
      <c r="M314" s="209">
        <v>676230.62</v>
      </c>
      <c r="N314" s="7" t="s">
        <v>225</v>
      </c>
      <c r="O314" s="7" t="s">
        <v>125</v>
      </c>
    </row>
    <row r="315" spans="1:15" s="224" customFormat="1" x14ac:dyDescent="0.25">
      <c r="A315" s="7" t="s">
        <v>2765</v>
      </c>
      <c r="B315" s="7" t="s">
        <v>18</v>
      </c>
      <c r="C315" s="7" t="s">
        <v>2576</v>
      </c>
      <c r="D315" s="7" t="s">
        <v>929</v>
      </c>
      <c r="E315" s="7" t="s">
        <v>2764</v>
      </c>
      <c r="F315" s="7" t="s">
        <v>2763</v>
      </c>
      <c r="G315" s="7" t="s">
        <v>2345</v>
      </c>
      <c r="H315" s="7" t="s">
        <v>74</v>
      </c>
      <c r="I315" s="7" t="s">
        <v>2581</v>
      </c>
      <c r="J315" s="209">
        <v>373151.23</v>
      </c>
      <c r="K315" s="209">
        <v>124383.75</v>
      </c>
      <c r="L315" s="209">
        <v>0</v>
      </c>
      <c r="M315" s="209">
        <v>497535</v>
      </c>
      <c r="N315" s="7" t="s">
        <v>225</v>
      </c>
      <c r="O315" s="7" t="s">
        <v>125</v>
      </c>
    </row>
    <row r="316" spans="1:15" s="224" customFormat="1" x14ac:dyDescent="0.25">
      <c r="A316" s="7" t="s">
        <v>2765</v>
      </c>
      <c r="B316" s="7" t="s">
        <v>18</v>
      </c>
      <c r="C316" s="7" t="s">
        <v>2576</v>
      </c>
      <c r="D316" s="7" t="s">
        <v>929</v>
      </c>
      <c r="E316" s="7" t="s">
        <v>2764</v>
      </c>
      <c r="F316" s="7" t="s">
        <v>2763</v>
      </c>
      <c r="G316" s="7" t="s">
        <v>177</v>
      </c>
      <c r="H316" s="7" t="s">
        <v>178</v>
      </c>
      <c r="I316" s="7" t="s">
        <v>867</v>
      </c>
      <c r="J316" s="209">
        <v>75000</v>
      </c>
      <c r="K316" s="209">
        <v>25000</v>
      </c>
      <c r="L316" s="209">
        <v>0</v>
      </c>
      <c r="M316" s="209">
        <v>100000</v>
      </c>
      <c r="N316" s="7" t="s">
        <v>225</v>
      </c>
      <c r="O316" s="7" t="s">
        <v>125</v>
      </c>
    </row>
    <row r="317" spans="1:15" s="224" customFormat="1" x14ac:dyDescent="0.25">
      <c r="A317" s="7" t="s">
        <v>2765</v>
      </c>
      <c r="B317" s="7" t="s">
        <v>18</v>
      </c>
      <c r="C317" s="7" t="s">
        <v>2576</v>
      </c>
      <c r="D317" s="7" t="s">
        <v>929</v>
      </c>
      <c r="E317" s="7" t="s">
        <v>2764</v>
      </c>
      <c r="F317" s="7" t="s">
        <v>2763</v>
      </c>
      <c r="G317" s="7" t="s">
        <v>177</v>
      </c>
      <c r="H317" s="7" t="s">
        <v>178</v>
      </c>
      <c r="I317" s="7" t="s">
        <v>2581</v>
      </c>
      <c r="J317" s="209">
        <v>46500</v>
      </c>
      <c r="K317" s="209">
        <v>11625</v>
      </c>
      <c r="L317" s="209">
        <v>3875</v>
      </c>
      <c r="M317" s="209">
        <v>62000</v>
      </c>
      <c r="N317" s="7" t="s">
        <v>225</v>
      </c>
      <c r="O317" s="7" t="s">
        <v>125</v>
      </c>
    </row>
    <row r="318" spans="1:15" s="224" customFormat="1" x14ac:dyDescent="0.25">
      <c r="A318" s="7" t="s">
        <v>3078</v>
      </c>
      <c r="B318" s="7" t="s">
        <v>18</v>
      </c>
      <c r="C318" s="7" t="s">
        <v>2576</v>
      </c>
      <c r="D318" s="7" t="s">
        <v>929</v>
      </c>
      <c r="E318" s="7" t="s">
        <v>3077</v>
      </c>
      <c r="F318" s="7" t="s">
        <v>3076</v>
      </c>
      <c r="G318" s="7" t="s">
        <v>117</v>
      </c>
      <c r="H318" s="7" t="s">
        <v>119</v>
      </c>
      <c r="I318" s="7" t="s">
        <v>2581</v>
      </c>
      <c r="J318" s="209">
        <v>106816</v>
      </c>
      <c r="K318" s="209">
        <v>26704</v>
      </c>
      <c r="L318" s="209">
        <v>0</v>
      </c>
      <c r="M318" s="209">
        <v>133520</v>
      </c>
      <c r="N318" s="7" t="s">
        <v>4625</v>
      </c>
      <c r="O318" s="7" t="s">
        <v>125</v>
      </c>
    </row>
    <row r="319" spans="1:15" s="224" customFormat="1" x14ac:dyDescent="0.25">
      <c r="A319" s="223" t="s">
        <v>392</v>
      </c>
      <c r="B319" s="224" t="s">
        <v>90</v>
      </c>
      <c r="C319" s="224" t="s">
        <v>4693</v>
      </c>
      <c r="D319" s="225" t="s">
        <v>393</v>
      </c>
      <c r="E319" s="224" t="s">
        <v>394</v>
      </c>
      <c r="F319" s="224" t="s">
        <v>395</v>
      </c>
      <c r="G319" s="224" t="s">
        <v>212</v>
      </c>
      <c r="H319" s="224" t="s">
        <v>213</v>
      </c>
      <c r="I319" s="224" t="s">
        <v>224</v>
      </c>
      <c r="J319" s="226"/>
      <c r="K319" s="226"/>
      <c r="L319" s="226">
        <v>750000</v>
      </c>
      <c r="M319" s="226">
        <v>750000</v>
      </c>
      <c r="N319" s="224" t="s">
        <v>4624</v>
      </c>
      <c r="O319" s="224" t="s">
        <v>124</v>
      </c>
    </row>
    <row r="320" spans="1:15" s="224" customFormat="1" x14ac:dyDescent="0.25">
      <c r="A320" s="187" t="s">
        <v>803</v>
      </c>
      <c r="B320" s="61" t="s">
        <v>90</v>
      </c>
      <c r="C320" s="7" t="s">
        <v>4693</v>
      </c>
      <c r="D320" s="199" t="s">
        <v>404</v>
      </c>
      <c r="E320" s="199" t="s">
        <v>1034</v>
      </c>
      <c r="F320" s="199" t="s">
        <v>1142</v>
      </c>
      <c r="G320" s="7" t="s">
        <v>2345</v>
      </c>
      <c r="H320" s="7" t="s">
        <v>651</v>
      </c>
      <c r="I320" s="199" t="s">
        <v>1277</v>
      </c>
      <c r="J320" s="235">
        <v>1559549</v>
      </c>
      <c r="K320" s="211">
        <v>389887</v>
      </c>
      <c r="L320" s="211">
        <v>0</v>
      </c>
      <c r="M320" s="235">
        <v>1949436</v>
      </c>
      <c r="N320" s="61" t="s">
        <v>4625</v>
      </c>
      <c r="O320" s="61" t="s">
        <v>125</v>
      </c>
    </row>
    <row r="321" spans="1:15" s="224" customFormat="1" x14ac:dyDescent="0.25">
      <c r="A321" s="223" t="s">
        <v>396</v>
      </c>
      <c r="B321" s="224" t="s">
        <v>90</v>
      </c>
      <c r="C321" s="224" t="s">
        <v>4693</v>
      </c>
      <c r="D321" s="225" t="s">
        <v>397</v>
      </c>
      <c r="E321" s="224" t="s">
        <v>398</v>
      </c>
      <c r="F321" s="224" t="s">
        <v>399</v>
      </c>
      <c r="G321" s="224" t="s">
        <v>177</v>
      </c>
      <c r="H321" s="224" t="s">
        <v>178</v>
      </c>
      <c r="I321" s="224" t="s">
        <v>224</v>
      </c>
      <c r="J321" s="226"/>
      <c r="K321" s="226"/>
      <c r="L321" s="226">
        <v>148208</v>
      </c>
      <c r="M321" s="226">
        <v>148208</v>
      </c>
      <c r="N321" s="224" t="s">
        <v>4625</v>
      </c>
      <c r="O321" s="224" t="s">
        <v>124</v>
      </c>
    </row>
    <row r="322" spans="1:15" s="224" customFormat="1" x14ac:dyDescent="0.25">
      <c r="A322" s="187" t="s">
        <v>396</v>
      </c>
      <c r="B322" s="61" t="s">
        <v>90</v>
      </c>
      <c r="C322" s="7" t="s">
        <v>4693</v>
      </c>
      <c r="D322" s="199" t="s">
        <v>397</v>
      </c>
      <c r="E322" s="199" t="s">
        <v>982</v>
      </c>
      <c r="F322" s="199" t="s">
        <v>1088</v>
      </c>
      <c r="G322" s="7" t="s">
        <v>2345</v>
      </c>
      <c r="H322" s="199" t="s">
        <v>1195</v>
      </c>
      <c r="I322" s="199" t="s">
        <v>1277</v>
      </c>
      <c r="J322" s="235">
        <v>245769</v>
      </c>
      <c r="K322" s="211">
        <v>61442</v>
      </c>
      <c r="L322" s="211">
        <v>0</v>
      </c>
      <c r="M322" s="235">
        <v>307211</v>
      </c>
      <c r="N322" s="61" t="s">
        <v>4625</v>
      </c>
      <c r="O322" s="61" t="s">
        <v>124</v>
      </c>
    </row>
    <row r="323" spans="1:15" s="224" customFormat="1" x14ac:dyDescent="0.25">
      <c r="A323" s="187" t="s">
        <v>396</v>
      </c>
      <c r="B323" s="61" t="s">
        <v>90</v>
      </c>
      <c r="C323" s="7" t="s">
        <v>4693</v>
      </c>
      <c r="D323" s="199" t="s">
        <v>919</v>
      </c>
      <c r="E323" s="199" t="s">
        <v>4676</v>
      </c>
      <c r="F323" s="199" t="s">
        <v>1088</v>
      </c>
      <c r="G323" s="7" t="s">
        <v>2345</v>
      </c>
      <c r="H323" s="199" t="s">
        <v>1195</v>
      </c>
      <c r="I323" s="199" t="s">
        <v>2581</v>
      </c>
      <c r="J323" s="235">
        <v>254780</v>
      </c>
      <c r="K323" s="211">
        <v>109191</v>
      </c>
      <c r="L323" s="211">
        <v>0</v>
      </c>
      <c r="M323" s="235">
        <v>363971</v>
      </c>
      <c r="N323" s="61" t="s">
        <v>4625</v>
      </c>
      <c r="O323" s="61" t="s">
        <v>124</v>
      </c>
    </row>
    <row r="324" spans="1:15" s="224" customFormat="1" x14ac:dyDescent="0.25">
      <c r="A324" s="187" t="s">
        <v>396</v>
      </c>
      <c r="B324" s="61" t="s">
        <v>90</v>
      </c>
      <c r="C324" s="7" t="s">
        <v>4693</v>
      </c>
      <c r="D324" s="199" t="s">
        <v>918</v>
      </c>
      <c r="E324" s="199" t="s">
        <v>982</v>
      </c>
      <c r="F324" s="199" t="s">
        <v>1088</v>
      </c>
      <c r="G324" s="7" t="s">
        <v>2345</v>
      </c>
      <c r="H324" s="199" t="s">
        <v>1195</v>
      </c>
      <c r="I324" s="199" t="s">
        <v>2581</v>
      </c>
      <c r="J324" s="235">
        <v>103443</v>
      </c>
      <c r="K324" s="211">
        <v>133594</v>
      </c>
      <c r="L324" s="211">
        <v>0</v>
      </c>
      <c r="M324" s="235">
        <v>237037</v>
      </c>
      <c r="N324" s="61" t="s">
        <v>4625</v>
      </c>
      <c r="O324" s="61" t="s">
        <v>125</v>
      </c>
    </row>
    <row r="325" spans="1:15" s="224" customFormat="1" x14ac:dyDescent="0.25">
      <c r="A325" s="7" t="s">
        <v>1983</v>
      </c>
      <c r="B325" s="7" t="s">
        <v>18</v>
      </c>
      <c r="C325" s="7" t="s">
        <v>4693</v>
      </c>
      <c r="D325" s="7" t="s">
        <v>404</v>
      </c>
      <c r="E325" s="7" t="s">
        <v>2636</v>
      </c>
      <c r="F325" s="7" t="s">
        <v>1142</v>
      </c>
      <c r="G325" s="7" t="s">
        <v>2345</v>
      </c>
      <c r="H325" s="7" t="s">
        <v>4711</v>
      </c>
      <c r="I325" s="7" t="s">
        <v>867</v>
      </c>
      <c r="J325" s="209">
        <v>2406022.83</v>
      </c>
      <c r="K325" s="209">
        <v>603633.01</v>
      </c>
      <c r="L325" s="209">
        <v>8509.2099999999627</v>
      </c>
      <c r="M325" s="209">
        <v>3018165.05</v>
      </c>
      <c r="N325" s="7" t="s">
        <v>4616</v>
      </c>
      <c r="O325" s="7" t="s">
        <v>126</v>
      </c>
    </row>
    <row r="326" spans="1:15" s="224" customFormat="1" x14ac:dyDescent="0.25">
      <c r="A326" s="7" t="s">
        <v>1983</v>
      </c>
      <c r="B326" s="7" t="s">
        <v>18</v>
      </c>
      <c r="C326" s="7" t="s">
        <v>4693</v>
      </c>
      <c r="D326" s="7" t="s">
        <v>404</v>
      </c>
      <c r="E326" s="7" t="s">
        <v>2636</v>
      </c>
      <c r="F326" s="7" t="s">
        <v>1142</v>
      </c>
      <c r="G326" s="7" t="s">
        <v>177</v>
      </c>
      <c r="H326" s="7" t="s">
        <v>178</v>
      </c>
      <c r="I326" s="7" t="s">
        <v>867</v>
      </c>
      <c r="J326" s="209">
        <v>280000</v>
      </c>
      <c r="K326" s="209">
        <v>70000</v>
      </c>
      <c r="L326" s="209">
        <v>0</v>
      </c>
      <c r="M326" s="209">
        <v>350000</v>
      </c>
      <c r="N326" s="7" t="s">
        <v>4616</v>
      </c>
      <c r="O326" s="7" t="s">
        <v>126</v>
      </c>
    </row>
    <row r="327" spans="1:15" s="224" customFormat="1" x14ac:dyDescent="0.25">
      <c r="A327" s="7" t="s">
        <v>1983</v>
      </c>
      <c r="B327" s="7" t="s">
        <v>18</v>
      </c>
      <c r="C327" s="7" t="s">
        <v>4693</v>
      </c>
      <c r="D327" s="7" t="s">
        <v>3172</v>
      </c>
      <c r="E327" s="7" t="s">
        <v>2718</v>
      </c>
      <c r="F327" s="7" t="s">
        <v>3171</v>
      </c>
      <c r="G327" s="7" t="s">
        <v>177</v>
      </c>
      <c r="H327" s="7" t="s">
        <v>178</v>
      </c>
      <c r="I327" s="7" t="s">
        <v>2781</v>
      </c>
      <c r="J327" s="209">
        <v>72400</v>
      </c>
      <c r="K327" s="209">
        <v>18100</v>
      </c>
      <c r="L327" s="209">
        <v>0</v>
      </c>
      <c r="M327" s="209">
        <v>90500</v>
      </c>
      <c r="N327" s="7" t="s">
        <v>4616</v>
      </c>
      <c r="O327" s="7" t="s">
        <v>126</v>
      </c>
    </row>
    <row r="328" spans="1:15" s="224" customFormat="1" x14ac:dyDescent="0.25">
      <c r="A328" s="7" t="s">
        <v>1983</v>
      </c>
      <c r="B328" s="7" t="s">
        <v>18</v>
      </c>
      <c r="C328" s="7" t="s">
        <v>4693</v>
      </c>
      <c r="D328" s="7" t="s">
        <v>3172</v>
      </c>
      <c r="E328" s="7" t="s">
        <v>2718</v>
      </c>
      <c r="F328" s="7" t="s">
        <v>3171</v>
      </c>
      <c r="G328" s="7" t="s">
        <v>2345</v>
      </c>
      <c r="H328" s="7" t="s">
        <v>1901</v>
      </c>
      <c r="I328" s="7" t="s">
        <v>2781</v>
      </c>
      <c r="J328" s="209">
        <v>648000</v>
      </c>
      <c r="K328" s="209">
        <v>162000</v>
      </c>
      <c r="L328" s="209">
        <v>0</v>
      </c>
      <c r="M328" s="209">
        <v>810000</v>
      </c>
      <c r="N328" s="7" t="s">
        <v>4616</v>
      </c>
      <c r="O328" s="7" t="s">
        <v>126</v>
      </c>
    </row>
    <row r="329" spans="1:15" s="224" customFormat="1" x14ac:dyDescent="0.25">
      <c r="A329" s="7" t="s">
        <v>1983</v>
      </c>
      <c r="B329" s="7" t="s">
        <v>18</v>
      </c>
      <c r="C329" s="7" t="s">
        <v>4693</v>
      </c>
      <c r="D329" s="7" t="s">
        <v>404</v>
      </c>
      <c r="E329" s="7" t="s">
        <v>2636</v>
      </c>
      <c r="F329" s="7" t="s">
        <v>1142</v>
      </c>
      <c r="G329" s="7" t="s">
        <v>2345</v>
      </c>
      <c r="H329" s="7" t="s">
        <v>4711</v>
      </c>
      <c r="I329" s="7" t="s">
        <v>2581</v>
      </c>
      <c r="J329" s="209">
        <v>881467.96</v>
      </c>
      <c r="K329" s="209">
        <v>220366.99</v>
      </c>
      <c r="L329" s="209">
        <v>0</v>
      </c>
      <c r="M329" s="209">
        <v>1101834.95</v>
      </c>
      <c r="N329" s="7" t="s">
        <v>4616</v>
      </c>
      <c r="O329" s="7" t="s">
        <v>126</v>
      </c>
    </row>
    <row r="330" spans="1:15" s="224" customFormat="1" x14ac:dyDescent="0.25">
      <c r="A330" s="7" t="s">
        <v>1983</v>
      </c>
      <c r="B330" s="7" t="s">
        <v>18</v>
      </c>
      <c r="C330" s="7" t="s">
        <v>4693</v>
      </c>
      <c r="D330" s="7" t="s">
        <v>404</v>
      </c>
      <c r="E330" s="7" t="s">
        <v>2718</v>
      </c>
      <c r="F330" s="7" t="s">
        <v>2717</v>
      </c>
      <c r="G330" s="7" t="s">
        <v>2345</v>
      </c>
      <c r="H330" s="7" t="s">
        <v>4711</v>
      </c>
      <c r="I330" s="7" t="s">
        <v>2715</v>
      </c>
      <c r="J330" s="209">
        <v>2360000</v>
      </c>
      <c r="K330" s="209">
        <v>590000</v>
      </c>
      <c r="L330" s="209">
        <v>0</v>
      </c>
      <c r="M330" s="209">
        <v>2950000</v>
      </c>
      <c r="N330" s="7" t="s">
        <v>4616</v>
      </c>
      <c r="O330" s="7" t="s">
        <v>126</v>
      </c>
    </row>
    <row r="331" spans="1:15" s="224" customFormat="1" x14ac:dyDescent="0.25">
      <c r="A331" s="7" t="s">
        <v>1983</v>
      </c>
      <c r="B331" s="7" t="s">
        <v>18</v>
      </c>
      <c r="C331" s="7" t="s">
        <v>4693</v>
      </c>
      <c r="D331" s="7" t="s">
        <v>404</v>
      </c>
      <c r="E331" s="7" t="s">
        <v>2718</v>
      </c>
      <c r="F331" s="7" t="s">
        <v>2717</v>
      </c>
      <c r="G331" s="7" t="s">
        <v>177</v>
      </c>
      <c r="H331" s="7" t="s">
        <v>178</v>
      </c>
      <c r="I331" s="7" t="s">
        <v>2715</v>
      </c>
      <c r="J331" s="209">
        <v>172000</v>
      </c>
      <c r="K331" s="209">
        <v>43000</v>
      </c>
      <c r="L331" s="209">
        <v>0</v>
      </c>
      <c r="M331" s="209">
        <v>215000</v>
      </c>
      <c r="N331" s="7" t="s">
        <v>4616</v>
      </c>
      <c r="O331" s="7" t="s">
        <v>126</v>
      </c>
    </row>
    <row r="332" spans="1:15" s="224" customFormat="1" x14ac:dyDescent="0.25">
      <c r="A332" s="223" t="s">
        <v>400</v>
      </c>
      <c r="B332" s="224" t="s">
        <v>90</v>
      </c>
      <c r="C332" s="224" t="s">
        <v>4693</v>
      </c>
      <c r="D332" s="225" t="s">
        <v>284</v>
      </c>
      <c r="E332" s="224" t="s">
        <v>401</v>
      </c>
      <c r="F332" s="224" t="s">
        <v>402</v>
      </c>
      <c r="G332" s="224" t="s">
        <v>212</v>
      </c>
      <c r="H332" s="224" t="s">
        <v>213</v>
      </c>
      <c r="I332" s="224" t="s">
        <v>224</v>
      </c>
      <c r="J332" s="226"/>
      <c r="K332" s="226"/>
      <c r="L332" s="226">
        <v>133170</v>
      </c>
      <c r="M332" s="226">
        <v>133170</v>
      </c>
      <c r="N332" s="224" t="s">
        <v>82</v>
      </c>
      <c r="O332" s="224" t="s">
        <v>214</v>
      </c>
    </row>
    <row r="333" spans="1:15" s="224" customFormat="1" x14ac:dyDescent="0.25">
      <c r="A333" s="223" t="s">
        <v>403</v>
      </c>
      <c r="B333" s="224" t="s">
        <v>90</v>
      </c>
      <c r="C333" s="224" t="s">
        <v>4693</v>
      </c>
      <c r="D333" s="225" t="s">
        <v>404</v>
      </c>
      <c r="E333" s="224" t="s">
        <v>405</v>
      </c>
      <c r="F333" s="224" t="s">
        <v>406</v>
      </c>
      <c r="G333" s="224" t="s">
        <v>73</v>
      </c>
      <c r="H333" s="224" t="s">
        <v>245</v>
      </c>
      <c r="I333" s="224" t="s">
        <v>224</v>
      </c>
      <c r="J333" s="226"/>
      <c r="K333" s="226"/>
      <c r="L333" s="226">
        <v>15088.25</v>
      </c>
      <c r="M333" s="226">
        <v>15088.25</v>
      </c>
      <c r="N333" s="224" t="s">
        <v>4625</v>
      </c>
      <c r="O333" s="224" t="s">
        <v>124</v>
      </c>
    </row>
    <row r="334" spans="1:15" s="224" customFormat="1" x14ac:dyDescent="0.25">
      <c r="A334" s="223" t="s">
        <v>407</v>
      </c>
      <c r="B334" s="224" t="s">
        <v>90</v>
      </c>
      <c r="C334" s="224" t="s">
        <v>4693</v>
      </c>
      <c r="D334" s="225" t="s">
        <v>408</v>
      </c>
      <c r="E334" s="224" t="s">
        <v>409</v>
      </c>
      <c r="F334" s="224" t="s">
        <v>410</v>
      </c>
      <c r="G334" s="224" t="s">
        <v>212</v>
      </c>
      <c r="H334" s="224" t="s">
        <v>213</v>
      </c>
      <c r="I334" s="224" t="s">
        <v>224</v>
      </c>
      <c r="J334" s="226"/>
      <c r="K334" s="226"/>
      <c r="L334" s="226">
        <v>451636</v>
      </c>
      <c r="M334" s="226">
        <v>451636</v>
      </c>
      <c r="N334" s="224" t="s">
        <v>4624</v>
      </c>
      <c r="O334" s="224" t="s">
        <v>124</v>
      </c>
    </row>
    <row r="335" spans="1:15" s="224" customFormat="1" x14ac:dyDescent="0.25">
      <c r="A335" s="7" t="s">
        <v>407</v>
      </c>
      <c r="B335" s="7" t="s">
        <v>90</v>
      </c>
      <c r="C335" s="7" t="s">
        <v>4693</v>
      </c>
      <c r="D335" s="7" t="s">
        <v>91</v>
      </c>
      <c r="E335" s="7" t="s">
        <v>4536</v>
      </c>
      <c r="F335" s="7" t="s">
        <v>4535</v>
      </c>
      <c r="G335" s="8" t="s">
        <v>73</v>
      </c>
      <c r="H335" s="7" t="s">
        <v>245</v>
      </c>
      <c r="I335" s="7" t="s">
        <v>3040</v>
      </c>
      <c r="J335" s="209">
        <v>360000</v>
      </c>
      <c r="K335" s="209">
        <v>40000</v>
      </c>
      <c r="L335" s="209">
        <v>0</v>
      </c>
      <c r="M335" s="209">
        <v>400000</v>
      </c>
      <c r="N335" s="7" t="s">
        <v>4624</v>
      </c>
      <c r="O335" s="7" t="s">
        <v>124</v>
      </c>
    </row>
    <row r="336" spans="1:15" s="224" customFormat="1" x14ac:dyDescent="0.25">
      <c r="A336" s="7" t="s">
        <v>2602</v>
      </c>
      <c r="B336" s="7" t="s">
        <v>18</v>
      </c>
      <c r="C336" s="7" t="s">
        <v>4693</v>
      </c>
      <c r="D336" s="7" t="s">
        <v>404</v>
      </c>
      <c r="E336" s="7" t="s">
        <v>41</v>
      </c>
      <c r="F336" s="7" t="s">
        <v>2600</v>
      </c>
      <c r="G336" s="7" t="s">
        <v>177</v>
      </c>
      <c r="H336" s="7" t="s">
        <v>178</v>
      </c>
      <c r="I336" s="7" t="s">
        <v>1278</v>
      </c>
      <c r="J336" s="209">
        <v>7000</v>
      </c>
      <c r="K336" s="209">
        <v>0</v>
      </c>
      <c r="L336" s="209">
        <v>0</v>
      </c>
      <c r="M336" s="209">
        <v>7000</v>
      </c>
      <c r="N336" s="7" t="s">
        <v>4616</v>
      </c>
      <c r="O336" s="7" t="s">
        <v>124</v>
      </c>
    </row>
    <row r="337" spans="1:15" s="224" customFormat="1" x14ac:dyDescent="0.25">
      <c r="A337" s="7" t="s">
        <v>2602</v>
      </c>
      <c r="B337" s="7" t="s">
        <v>18</v>
      </c>
      <c r="C337" s="7" t="s">
        <v>4693</v>
      </c>
      <c r="D337" s="7" t="s">
        <v>404</v>
      </c>
      <c r="E337" s="7" t="s">
        <v>41</v>
      </c>
      <c r="F337" s="7" t="s">
        <v>2600</v>
      </c>
      <c r="G337" s="7" t="s">
        <v>2345</v>
      </c>
      <c r="H337" s="7" t="s">
        <v>1934</v>
      </c>
      <c r="I337" s="7" t="s">
        <v>1278</v>
      </c>
      <c r="J337" s="209">
        <v>45350</v>
      </c>
      <c r="K337" s="209">
        <v>0</v>
      </c>
      <c r="L337" s="209">
        <v>0</v>
      </c>
      <c r="M337" s="209">
        <v>45350</v>
      </c>
      <c r="N337" s="7" t="s">
        <v>4616</v>
      </c>
      <c r="O337" s="7" t="s">
        <v>124</v>
      </c>
    </row>
    <row r="338" spans="1:15" s="224" customFormat="1" x14ac:dyDescent="0.25">
      <c r="A338" s="187" t="s">
        <v>735</v>
      </c>
      <c r="B338" s="61" t="s">
        <v>90</v>
      </c>
      <c r="C338" s="7" t="s">
        <v>4693</v>
      </c>
      <c r="D338" s="199" t="s">
        <v>4667</v>
      </c>
      <c r="E338" s="199" t="s">
        <v>981</v>
      </c>
      <c r="F338" s="199" t="s">
        <v>4666</v>
      </c>
      <c r="G338" s="7" t="s">
        <v>2345</v>
      </c>
      <c r="H338" s="199" t="s">
        <v>1200</v>
      </c>
      <c r="I338" s="199" t="s">
        <v>2581</v>
      </c>
      <c r="J338" s="235">
        <v>184558.5</v>
      </c>
      <c r="K338" s="211">
        <v>46139.5</v>
      </c>
      <c r="L338" s="211">
        <v>0</v>
      </c>
      <c r="M338" s="235">
        <v>230698</v>
      </c>
      <c r="N338" s="61" t="s">
        <v>225</v>
      </c>
      <c r="O338" s="61" t="s">
        <v>125</v>
      </c>
    </row>
    <row r="339" spans="1:15" s="224" customFormat="1" x14ac:dyDescent="0.25">
      <c r="A339" s="187" t="s">
        <v>855</v>
      </c>
      <c r="B339" s="61" t="s">
        <v>18</v>
      </c>
      <c r="C339" s="7" t="s">
        <v>4693</v>
      </c>
      <c r="D339" s="199" t="s">
        <v>277</v>
      </c>
      <c r="E339" s="199" t="s">
        <v>4649</v>
      </c>
      <c r="F339" s="199" t="s">
        <v>4650</v>
      </c>
      <c r="G339" s="7" t="s">
        <v>117</v>
      </c>
      <c r="H339" s="199" t="s">
        <v>4750</v>
      </c>
      <c r="I339" s="199" t="s">
        <v>2581</v>
      </c>
      <c r="J339" s="235">
        <v>4346</v>
      </c>
      <c r="K339" s="211">
        <v>1087</v>
      </c>
      <c r="L339" s="211">
        <v>0</v>
      </c>
      <c r="M339" s="235">
        <v>5433</v>
      </c>
      <c r="N339" s="61" t="s">
        <v>4621</v>
      </c>
      <c r="O339" s="61" t="s">
        <v>124</v>
      </c>
    </row>
    <row r="340" spans="1:15" s="224" customFormat="1" x14ac:dyDescent="0.25">
      <c r="A340" s="187" t="s">
        <v>276</v>
      </c>
      <c r="B340" s="61" t="s">
        <v>90</v>
      </c>
      <c r="C340" s="7" t="s">
        <v>4693</v>
      </c>
      <c r="D340" s="199" t="s">
        <v>277</v>
      </c>
      <c r="E340" s="199" t="s">
        <v>278</v>
      </c>
      <c r="F340" s="199" t="s">
        <v>279</v>
      </c>
      <c r="G340" s="7" t="s">
        <v>2345</v>
      </c>
      <c r="H340" s="199" t="s">
        <v>4731</v>
      </c>
      <c r="I340" s="199" t="s">
        <v>2284</v>
      </c>
      <c r="J340" s="235">
        <v>983071</v>
      </c>
      <c r="K340" s="211">
        <v>1883861</v>
      </c>
      <c r="L340" s="211">
        <v>0</v>
      </c>
      <c r="M340" s="235">
        <v>2866932</v>
      </c>
      <c r="N340" s="61" t="s">
        <v>225</v>
      </c>
      <c r="O340" s="61" t="s">
        <v>125</v>
      </c>
    </row>
    <row r="341" spans="1:15" s="224" customFormat="1" x14ac:dyDescent="0.25">
      <c r="A341" s="223" t="s">
        <v>276</v>
      </c>
      <c r="B341" s="224" t="s">
        <v>90</v>
      </c>
      <c r="C341" s="224" t="s">
        <v>4693</v>
      </c>
      <c r="D341" s="225" t="s">
        <v>277</v>
      </c>
      <c r="E341" s="224" t="s">
        <v>278</v>
      </c>
      <c r="F341" s="224" t="s">
        <v>279</v>
      </c>
      <c r="G341" s="224" t="s">
        <v>2345</v>
      </c>
      <c r="H341" s="224" t="s">
        <v>219</v>
      </c>
      <c r="I341" s="224" t="s">
        <v>220</v>
      </c>
      <c r="J341" s="226"/>
      <c r="K341" s="226"/>
      <c r="L341" s="226">
        <v>9146</v>
      </c>
      <c r="M341" s="226">
        <v>9146</v>
      </c>
      <c r="N341" s="224" t="s">
        <v>4624</v>
      </c>
      <c r="O341" s="224" t="s">
        <v>124</v>
      </c>
    </row>
    <row r="342" spans="1:15" s="224" customFormat="1" x14ac:dyDescent="0.25">
      <c r="A342" s="223" t="s">
        <v>276</v>
      </c>
      <c r="B342" s="224" t="s">
        <v>90</v>
      </c>
      <c r="C342" s="224" t="s">
        <v>4693</v>
      </c>
      <c r="D342" s="225" t="s">
        <v>277</v>
      </c>
      <c r="E342" s="224" t="s">
        <v>278</v>
      </c>
      <c r="F342" s="224" t="s">
        <v>279</v>
      </c>
      <c r="G342" s="224" t="s">
        <v>2345</v>
      </c>
      <c r="H342" s="224" t="s">
        <v>219</v>
      </c>
      <c r="I342" s="224" t="s">
        <v>220</v>
      </c>
      <c r="J342" s="226"/>
      <c r="K342" s="226"/>
      <c r="L342" s="226">
        <v>66880</v>
      </c>
      <c r="M342" s="226">
        <v>66880</v>
      </c>
      <c r="N342" s="224" t="s">
        <v>225</v>
      </c>
      <c r="O342" s="224" t="s">
        <v>125</v>
      </c>
    </row>
    <row r="343" spans="1:15" s="224" customFormat="1" x14ac:dyDescent="0.25">
      <c r="A343" s="187" t="s">
        <v>782</v>
      </c>
      <c r="B343" s="61" t="s">
        <v>90</v>
      </c>
      <c r="C343" s="7" t="s">
        <v>4693</v>
      </c>
      <c r="D343" s="199" t="s">
        <v>284</v>
      </c>
      <c r="E343" s="199" t="s">
        <v>1019</v>
      </c>
      <c r="F343" s="199" t="s">
        <v>1127</v>
      </c>
      <c r="G343" s="7" t="s">
        <v>2345</v>
      </c>
      <c r="H343" s="199" t="s">
        <v>75</v>
      </c>
      <c r="I343" s="199" t="s">
        <v>2284</v>
      </c>
      <c r="J343" s="235">
        <v>173531</v>
      </c>
      <c r="K343" s="211">
        <v>260297</v>
      </c>
      <c r="L343" s="211">
        <v>0</v>
      </c>
      <c r="M343" s="235">
        <v>433828</v>
      </c>
      <c r="N343" s="61" t="s">
        <v>4624</v>
      </c>
      <c r="O343" s="61" t="s">
        <v>124</v>
      </c>
    </row>
    <row r="344" spans="1:15" s="224" customFormat="1" x14ac:dyDescent="0.25">
      <c r="A344" s="187" t="s">
        <v>817</v>
      </c>
      <c r="B344" s="61" t="s">
        <v>90</v>
      </c>
      <c r="C344" s="7" t="s">
        <v>4693</v>
      </c>
      <c r="D344" s="199" t="s">
        <v>4639</v>
      </c>
      <c r="E344" s="199" t="s">
        <v>4640</v>
      </c>
      <c r="F344" s="199" t="s">
        <v>4641</v>
      </c>
      <c r="G344" s="7" t="s">
        <v>2345</v>
      </c>
      <c r="H344" s="199" t="s">
        <v>4749</v>
      </c>
      <c r="I344" s="199" t="s">
        <v>1276</v>
      </c>
      <c r="J344" s="235">
        <v>12458.76</v>
      </c>
      <c r="K344" s="211">
        <v>1384.2399999999998</v>
      </c>
      <c r="L344" s="211">
        <v>0</v>
      </c>
      <c r="M344" s="235">
        <v>13843</v>
      </c>
      <c r="N344" s="61" t="s">
        <v>4624</v>
      </c>
      <c r="O344" s="61" t="s">
        <v>124</v>
      </c>
    </row>
    <row r="345" spans="1:15" s="224" customFormat="1" x14ac:dyDescent="0.25">
      <c r="A345" s="7" t="s">
        <v>4416</v>
      </c>
      <c r="B345" s="7" t="s">
        <v>18</v>
      </c>
      <c r="C345" s="7" t="s">
        <v>4693</v>
      </c>
      <c r="D345" s="7" t="s">
        <v>284</v>
      </c>
      <c r="E345" s="7" t="s">
        <v>4415</v>
      </c>
      <c r="F345" s="7" t="s">
        <v>4414</v>
      </c>
      <c r="G345" s="224" t="s">
        <v>212</v>
      </c>
      <c r="H345" s="7" t="s">
        <v>213</v>
      </c>
      <c r="I345" s="7" t="s">
        <v>2581</v>
      </c>
      <c r="J345" s="209">
        <v>115302</v>
      </c>
      <c r="K345" s="209">
        <v>49415.1</v>
      </c>
      <c r="L345" s="209">
        <v>0</v>
      </c>
      <c r="M345" s="209">
        <v>164717</v>
      </c>
      <c r="N345" s="7" t="s">
        <v>4624</v>
      </c>
      <c r="O345" s="7" t="s">
        <v>124</v>
      </c>
    </row>
    <row r="346" spans="1:15" s="224" customFormat="1" x14ac:dyDescent="0.25">
      <c r="A346" s="187" t="s">
        <v>832</v>
      </c>
      <c r="B346" s="61" t="s">
        <v>18</v>
      </c>
      <c r="C346" s="7" t="s">
        <v>4693</v>
      </c>
      <c r="D346" s="199" t="s">
        <v>965</v>
      </c>
      <c r="E346" s="199" t="s">
        <v>975</v>
      </c>
      <c r="F346" s="199" t="s">
        <v>1171</v>
      </c>
      <c r="G346" s="7" t="s">
        <v>2345</v>
      </c>
      <c r="H346" s="199" t="s">
        <v>1245</v>
      </c>
      <c r="I346" s="199" t="s">
        <v>2581</v>
      </c>
      <c r="J346" s="235">
        <v>523.86</v>
      </c>
      <c r="K346" s="211">
        <v>973.14</v>
      </c>
      <c r="L346" s="211">
        <v>0</v>
      </c>
      <c r="M346" s="235">
        <v>1497</v>
      </c>
      <c r="N346" s="61" t="s">
        <v>225</v>
      </c>
      <c r="O346" s="61" t="s">
        <v>125</v>
      </c>
    </row>
    <row r="347" spans="1:15" s="224" customFormat="1" x14ac:dyDescent="0.25">
      <c r="A347" s="187" t="s">
        <v>736</v>
      </c>
      <c r="B347" s="61" t="s">
        <v>90</v>
      </c>
      <c r="C347" s="7" t="s">
        <v>4693</v>
      </c>
      <c r="D347" s="199" t="s">
        <v>918</v>
      </c>
      <c r="E347" s="199" t="s">
        <v>619</v>
      </c>
      <c r="F347" s="199" t="s">
        <v>1087</v>
      </c>
      <c r="G347" s="7" t="s">
        <v>2345</v>
      </c>
      <c r="H347" s="199" t="s">
        <v>1201</v>
      </c>
      <c r="I347" s="199" t="s">
        <v>1276</v>
      </c>
      <c r="J347" s="235">
        <v>61063.51</v>
      </c>
      <c r="K347" s="211">
        <v>6784.489999999998</v>
      </c>
      <c r="L347" s="211">
        <v>0</v>
      </c>
      <c r="M347" s="235">
        <v>67848</v>
      </c>
      <c r="N347" s="61" t="s">
        <v>4623</v>
      </c>
      <c r="O347" s="61" t="s">
        <v>124</v>
      </c>
    </row>
    <row r="348" spans="1:15" s="224" customFormat="1" x14ac:dyDescent="0.25">
      <c r="A348" s="7" t="s">
        <v>786</v>
      </c>
      <c r="B348" s="7" t="s">
        <v>90</v>
      </c>
      <c r="C348" s="7" t="s">
        <v>4693</v>
      </c>
      <c r="D348" s="7" t="s">
        <v>408</v>
      </c>
      <c r="E348" s="7" t="s">
        <v>2750</v>
      </c>
      <c r="F348" s="7" t="s">
        <v>2749</v>
      </c>
      <c r="G348" s="7" t="s">
        <v>2345</v>
      </c>
      <c r="H348" s="7" t="s">
        <v>74</v>
      </c>
      <c r="I348" s="7" t="s">
        <v>3040</v>
      </c>
      <c r="J348" s="209">
        <v>711841</v>
      </c>
      <c r="K348" s="209">
        <v>177960.25</v>
      </c>
      <c r="L348" s="209">
        <v>0</v>
      </c>
      <c r="M348" s="209">
        <v>889801</v>
      </c>
      <c r="N348" s="7" t="s">
        <v>225</v>
      </c>
      <c r="O348" s="7" t="s">
        <v>125</v>
      </c>
    </row>
    <row r="349" spans="1:15" s="224" customFormat="1" x14ac:dyDescent="0.25">
      <c r="A349" s="7" t="s">
        <v>786</v>
      </c>
      <c r="B349" s="7" t="s">
        <v>90</v>
      </c>
      <c r="C349" s="7" t="s">
        <v>4693</v>
      </c>
      <c r="D349" s="7" t="s">
        <v>408</v>
      </c>
      <c r="E349" s="7" t="s">
        <v>2750</v>
      </c>
      <c r="F349" s="7" t="s">
        <v>2749</v>
      </c>
      <c r="G349" s="7" t="s">
        <v>177</v>
      </c>
      <c r="H349" s="7" t="s">
        <v>178</v>
      </c>
      <c r="I349" s="7" t="s">
        <v>3040</v>
      </c>
      <c r="J349" s="209">
        <v>112499</v>
      </c>
      <c r="K349" s="209">
        <v>28124.75</v>
      </c>
      <c r="L349" s="209">
        <v>0</v>
      </c>
      <c r="M349" s="209">
        <v>140624</v>
      </c>
      <c r="N349" s="7" t="s">
        <v>225</v>
      </c>
      <c r="O349" s="7" t="s">
        <v>125</v>
      </c>
    </row>
    <row r="350" spans="1:15" s="224" customFormat="1" x14ac:dyDescent="0.25">
      <c r="A350" s="7" t="s">
        <v>786</v>
      </c>
      <c r="B350" s="7" t="s">
        <v>90</v>
      </c>
      <c r="C350" s="7" t="s">
        <v>4693</v>
      </c>
      <c r="D350" s="7" t="s">
        <v>408</v>
      </c>
      <c r="E350" s="7" t="s">
        <v>2750</v>
      </c>
      <c r="F350" s="7" t="s">
        <v>2749</v>
      </c>
      <c r="G350" s="7" t="s">
        <v>2345</v>
      </c>
      <c r="H350" s="7" t="s">
        <v>74</v>
      </c>
      <c r="I350" s="7" t="s">
        <v>2581</v>
      </c>
      <c r="J350" s="209">
        <v>38153</v>
      </c>
      <c r="K350" s="209">
        <v>9538.25</v>
      </c>
      <c r="L350" s="209">
        <v>0</v>
      </c>
      <c r="M350" s="209">
        <v>47691</v>
      </c>
      <c r="N350" s="7" t="s">
        <v>225</v>
      </c>
      <c r="O350" s="7" t="s">
        <v>125</v>
      </c>
    </row>
    <row r="351" spans="1:15" s="224" customFormat="1" x14ac:dyDescent="0.25">
      <c r="A351" s="187" t="s">
        <v>786</v>
      </c>
      <c r="B351" s="61" t="s">
        <v>18</v>
      </c>
      <c r="C351" s="7" t="s">
        <v>4693</v>
      </c>
      <c r="D351" s="199" t="s">
        <v>943</v>
      </c>
      <c r="E351" s="199" t="s">
        <v>1021</v>
      </c>
      <c r="F351" s="199" t="s">
        <v>1131</v>
      </c>
      <c r="G351" s="7" t="s">
        <v>2345</v>
      </c>
      <c r="H351" s="199" t="s">
        <v>74</v>
      </c>
      <c r="I351" s="199" t="s">
        <v>2581</v>
      </c>
      <c r="J351" s="235">
        <v>5369</v>
      </c>
      <c r="K351" s="211">
        <v>1342</v>
      </c>
      <c r="L351" s="211">
        <v>0</v>
      </c>
      <c r="M351" s="235">
        <v>6711</v>
      </c>
      <c r="N351" s="61" t="s">
        <v>225</v>
      </c>
      <c r="O351" s="61" t="s">
        <v>125</v>
      </c>
    </row>
    <row r="352" spans="1:15" s="224" customFormat="1" x14ac:dyDescent="0.25">
      <c r="A352" s="7" t="s">
        <v>3196</v>
      </c>
      <c r="B352" s="7" t="s">
        <v>18</v>
      </c>
      <c r="C352" s="7" t="s">
        <v>4693</v>
      </c>
      <c r="D352" s="7" t="s">
        <v>3187</v>
      </c>
      <c r="E352" s="7" t="s">
        <v>3195</v>
      </c>
      <c r="F352" s="7" t="s">
        <v>3194</v>
      </c>
      <c r="G352" s="7" t="s">
        <v>2345</v>
      </c>
      <c r="H352" s="7" t="s">
        <v>74</v>
      </c>
      <c r="I352" s="7" t="s">
        <v>2581</v>
      </c>
      <c r="J352" s="209">
        <v>279306</v>
      </c>
      <c r="K352" s="209">
        <v>69830.600000000006</v>
      </c>
      <c r="L352" s="209">
        <v>0</v>
      </c>
      <c r="M352" s="209">
        <v>349153</v>
      </c>
      <c r="N352" s="7" t="s">
        <v>225</v>
      </c>
      <c r="O352" s="7" t="s">
        <v>125</v>
      </c>
    </row>
    <row r="353" spans="1:15" s="224" customFormat="1" x14ac:dyDescent="0.25">
      <c r="A353" s="7" t="s">
        <v>3196</v>
      </c>
      <c r="B353" s="7" t="s">
        <v>18</v>
      </c>
      <c r="C353" s="7" t="s">
        <v>4693</v>
      </c>
      <c r="D353" s="7" t="s">
        <v>3187</v>
      </c>
      <c r="E353" s="7" t="s">
        <v>3195</v>
      </c>
      <c r="F353" s="7" t="s">
        <v>3194</v>
      </c>
      <c r="G353" s="7" t="s">
        <v>177</v>
      </c>
      <c r="H353" s="7" t="s">
        <v>178</v>
      </c>
      <c r="I353" s="7" t="s">
        <v>2581</v>
      </c>
      <c r="J353" s="209">
        <v>32000</v>
      </c>
      <c r="K353" s="209">
        <v>8000</v>
      </c>
      <c r="L353" s="209">
        <v>0</v>
      </c>
      <c r="M353" s="209">
        <v>40000</v>
      </c>
      <c r="N353" s="7" t="s">
        <v>225</v>
      </c>
      <c r="O353" s="7" t="s">
        <v>125</v>
      </c>
    </row>
    <row r="354" spans="1:15" s="224" customFormat="1" x14ac:dyDescent="0.25">
      <c r="A354" s="7" t="s">
        <v>3188</v>
      </c>
      <c r="B354" s="7" t="s">
        <v>18</v>
      </c>
      <c r="C354" s="7" t="s">
        <v>4693</v>
      </c>
      <c r="D354" s="7" t="s">
        <v>3187</v>
      </c>
      <c r="E354" s="7" t="s">
        <v>3186</v>
      </c>
      <c r="F354" s="7" t="s">
        <v>3185</v>
      </c>
      <c r="G354" s="7" t="s">
        <v>2345</v>
      </c>
      <c r="H354" s="7" t="s">
        <v>74</v>
      </c>
      <c r="I354" s="7" t="s">
        <v>2581</v>
      </c>
      <c r="J354" s="209">
        <v>292923</v>
      </c>
      <c r="K354" s="209">
        <v>73231</v>
      </c>
      <c r="L354" s="209">
        <v>0</v>
      </c>
      <c r="M354" s="209">
        <v>366155</v>
      </c>
      <c r="N354" s="7" t="s">
        <v>225</v>
      </c>
      <c r="O354" s="7" t="s">
        <v>125</v>
      </c>
    </row>
    <row r="355" spans="1:15" s="224" customFormat="1" x14ac:dyDescent="0.25">
      <c r="A355" s="7" t="s">
        <v>3188</v>
      </c>
      <c r="B355" s="7" t="s">
        <v>18</v>
      </c>
      <c r="C355" s="7" t="s">
        <v>4693</v>
      </c>
      <c r="D355" s="7" t="s">
        <v>3187</v>
      </c>
      <c r="E355" s="7" t="s">
        <v>3186</v>
      </c>
      <c r="F355" s="7" t="s">
        <v>3185</v>
      </c>
      <c r="G355" s="7" t="s">
        <v>177</v>
      </c>
      <c r="H355" s="7" t="s">
        <v>178</v>
      </c>
      <c r="I355" s="7" t="s">
        <v>2581</v>
      </c>
      <c r="J355" s="209">
        <v>37600</v>
      </c>
      <c r="K355" s="209">
        <v>9400</v>
      </c>
      <c r="L355" s="209">
        <v>0</v>
      </c>
      <c r="M355" s="209">
        <v>47000</v>
      </c>
      <c r="N355" s="7" t="s">
        <v>225</v>
      </c>
      <c r="O355" s="7" t="s">
        <v>125</v>
      </c>
    </row>
    <row r="356" spans="1:15" s="224" customFormat="1" x14ac:dyDescent="0.25">
      <c r="A356" s="7" t="s">
        <v>3895</v>
      </c>
      <c r="B356" s="7" t="s">
        <v>18</v>
      </c>
      <c r="C356" s="7" t="s">
        <v>4693</v>
      </c>
      <c r="D356" s="7" t="s">
        <v>3894</v>
      </c>
      <c r="E356" s="7" t="s">
        <v>1074</v>
      </c>
      <c r="F356" s="7" t="s">
        <v>3893</v>
      </c>
      <c r="G356" s="7" t="s">
        <v>117</v>
      </c>
      <c r="H356" s="7" t="s">
        <v>119</v>
      </c>
      <c r="I356" s="7" t="s">
        <v>2581</v>
      </c>
      <c r="J356" s="209">
        <v>76807</v>
      </c>
      <c r="K356" s="209">
        <v>19201.600000000002</v>
      </c>
      <c r="L356" s="209">
        <v>0</v>
      </c>
      <c r="M356" s="209">
        <v>96008</v>
      </c>
      <c r="N356" s="7" t="s">
        <v>4624</v>
      </c>
      <c r="O356" s="7" t="s">
        <v>124</v>
      </c>
    </row>
    <row r="357" spans="1:15" s="224" customFormat="1" x14ac:dyDescent="0.25">
      <c r="A357" s="7" t="s">
        <v>4572</v>
      </c>
      <c r="B357" s="7" t="s">
        <v>18</v>
      </c>
      <c r="C357" s="7" t="s">
        <v>4693</v>
      </c>
      <c r="D357" s="7" t="s">
        <v>408</v>
      </c>
      <c r="E357" s="7" t="s">
        <v>2802</v>
      </c>
      <c r="F357" s="7" t="s">
        <v>4571</v>
      </c>
      <c r="G357" s="7" t="s">
        <v>117</v>
      </c>
      <c r="H357" s="7" t="s">
        <v>119</v>
      </c>
      <c r="I357" s="7" t="s">
        <v>2581</v>
      </c>
      <c r="J357" s="209">
        <v>104005</v>
      </c>
      <c r="K357" s="209">
        <v>26001.200000000001</v>
      </c>
      <c r="L357" s="209">
        <v>0</v>
      </c>
      <c r="M357" s="209">
        <v>130006</v>
      </c>
      <c r="N357" s="7" t="s">
        <v>4616</v>
      </c>
      <c r="O357" s="7" t="s">
        <v>124</v>
      </c>
    </row>
    <row r="358" spans="1:15" s="224" customFormat="1" x14ac:dyDescent="0.25">
      <c r="A358" s="7" t="s">
        <v>3852</v>
      </c>
      <c r="B358" s="7" t="s">
        <v>18</v>
      </c>
      <c r="C358" s="7" t="s">
        <v>4693</v>
      </c>
      <c r="D358" s="7" t="s">
        <v>408</v>
      </c>
      <c r="E358" s="7" t="s">
        <v>3851</v>
      </c>
      <c r="F358" s="7" t="s">
        <v>3850</v>
      </c>
      <c r="G358" s="7" t="s">
        <v>117</v>
      </c>
      <c r="H358" s="7" t="s">
        <v>119</v>
      </c>
      <c r="I358" s="7" t="s">
        <v>2581</v>
      </c>
      <c r="J358" s="209">
        <v>115921</v>
      </c>
      <c r="K358" s="209">
        <v>28980.25</v>
      </c>
      <c r="L358" s="209">
        <v>0</v>
      </c>
      <c r="M358" s="209">
        <v>144901</v>
      </c>
      <c r="N358" s="7" t="s">
        <v>4616</v>
      </c>
      <c r="O358" s="7" t="s">
        <v>126</v>
      </c>
    </row>
    <row r="359" spans="1:15" s="224" customFormat="1" x14ac:dyDescent="0.25">
      <c r="A359" s="7" t="s">
        <v>4234</v>
      </c>
      <c r="B359" s="7" t="s">
        <v>18</v>
      </c>
      <c r="C359" s="7" t="s">
        <v>4693</v>
      </c>
      <c r="D359" s="7" t="s">
        <v>3894</v>
      </c>
      <c r="E359" s="7" t="s">
        <v>41</v>
      </c>
      <c r="F359" s="7" t="s">
        <v>4233</v>
      </c>
      <c r="G359" s="7" t="s">
        <v>177</v>
      </c>
      <c r="H359" s="7" t="s">
        <v>178</v>
      </c>
      <c r="I359" s="7" t="s">
        <v>2581</v>
      </c>
      <c r="J359" s="209">
        <v>22200</v>
      </c>
      <c r="K359" s="209">
        <v>5550</v>
      </c>
      <c r="L359" s="209">
        <v>0</v>
      </c>
      <c r="M359" s="209">
        <v>27750</v>
      </c>
      <c r="N359" s="7" t="s">
        <v>4620</v>
      </c>
      <c r="O359" s="7" t="s">
        <v>124</v>
      </c>
    </row>
    <row r="360" spans="1:15" s="224" customFormat="1" x14ac:dyDescent="0.25">
      <c r="A360" s="7" t="s">
        <v>4234</v>
      </c>
      <c r="B360" s="7" t="s">
        <v>18</v>
      </c>
      <c r="C360" s="7" t="s">
        <v>4693</v>
      </c>
      <c r="D360" s="7" t="s">
        <v>3894</v>
      </c>
      <c r="E360" s="7" t="s">
        <v>41</v>
      </c>
      <c r="F360" s="7" t="s">
        <v>4233</v>
      </c>
      <c r="G360" s="7" t="s">
        <v>2345</v>
      </c>
      <c r="H360" s="7" t="s">
        <v>1199</v>
      </c>
      <c r="I360" s="7" t="s">
        <v>2581</v>
      </c>
      <c r="J360" s="209">
        <v>144664</v>
      </c>
      <c r="K360" s="209">
        <v>36166</v>
      </c>
      <c r="L360" s="209">
        <v>0</v>
      </c>
      <c r="M360" s="209">
        <v>180830</v>
      </c>
      <c r="N360" s="7" t="s">
        <v>4620</v>
      </c>
      <c r="O360" s="7" t="s">
        <v>124</v>
      </c>
    </row>
    <row r="361" spans="1:15" s="224" customFormat="1" x14ac:dyDescent="0.25">
      <c r="A361" s="7" t="s">
        <v>4394</v>
      </c>
      <c r="B361" s="7" t="s">
        <v>18</v>
      </c>
      <c r="C361" s="7" t="s">
        <v>4693</v>
      </c>
      <c r="D361" s="7" t="s">
        <v>4393</v>
      </c>
      <c r="E361" s="7" t="s">
        <v>41</v>
      </c>
      <c r="F361" s="7" t="s">
        <v>4392</v>
      </c>
      <c r="G361" s="7" t="s">
        <v>177</v>
      </c>
      <c r="H361" s="7" t="s">
        <v>178</v>
      </c>
      <c r="I361" s="7" t="s">
        <v>1278</v>
      </c>
      <c r="J361" s="209">
        <v>16000</v>
      </c>
      <c r="K361" s="209">
        <v>4000</v>
      </c>
      <c r="L361" s="209">
        <v>0</v>
      </c>
      <c r="M361" s="209">
        <v>20000</v>
      </c>
      <c r="N361" s="7" t="s">
        <v>4616</v>
      </c>
      <c r="O361" s="7" t="s">
        <v>124</v>
      </c>
    </row>
    <row r="362" spans="1:15" s="224" customFormat="1" x14ac:dyDescent="0.25">
      <c r="A362" s="7" t="s">
        <v>4394</v>
      </c>
      <c r="B362" s="7" t="s">
        <v>18</v>
      </c>
      <c r="C362" s="7" t="s">
        <v>4693</v>
      </c>
      <c r="D362" s="7" t="s">
        <v>4393</v>
      </c>
      <c r="E362" s="7" t="s">
        <v>41</v>
      </c>
      <c r="F362" s="7" t="s">
        <v>4392</v>
      </c>
      <c r="G362" s="7" t="s">
        <v>2345</v>
      </c>
      <c r="H362" s="7" t="s">
        <v>3118</v>
      </c>
      <c r="I362" s="7" t="s">
        <v>1278</v>
      </c>
      <c r="J362" s="209">
        <v>144000</v>
      </c>
      <c r="K362" s="209">
        <v>36000</v>
      </c>
      <c r="L362" s="209">
        <v>0</v>
      </c>
      <c r="M362" s="209">
        <v>180000</v>
      </c>
      <c r="N362" s="7" t="s">
        <v>4616</v>
      </c>
      <c r="O362" s="7" t="s">
        <v>124</v>
      </c>
    </row>
    <row r="363" spans="1:15" s="224" customFormat="1" x14ac:dyDescent="0.25">
      <c r="A363" s="7" t="s">
        <v>4260</v>
      </c>
      <c r="B363" s="7" t="s">
        <v>18</v>
      </c>
      <c r="C363" s="7" t="s">
        <v>4693</v>
      </c>
      <c r="D363" s="7" t="s">
        <v>4259</v>
      </c>
      <c r="E363" s="7" t="s">
        <v>4258</v>
      </c>
      <c r="F363" s="7" t="s">
        <v>4257</v>
      </c>
      <c r="G363" s="7" t="s">
        <v>117</v>
      </c>
      <c r="H363" s="7" t="s">
        <v>119</v>
      </c>
      <c r="I363" s="7" t="s">
        <v>2581</v>
      </c>
      <c r="J363" s="209">
        <v>75323</v>
      </c>
      <c r="K363" s="209">
        <v>18830.8</v>
      </c>
      <c r="L363" s="209">
        <v>0</v>
      </c>
      <c r="M363" s="209">
        <v>94154</v>
      </c>
      <c r="N363" s="7" t="s">
        <v>79</v>
      </c>
      <c r="O363" s="7" t="s">
        <v>124</v>
      </c>
    </row>
    <row r="364" spans="1:15" s="224" customFormat="1" x14ac:dyDescent="0.25">
      <c r="A364" s="7" t="s">
        <v>3902</v>
      </c>
      <c r="B364" s="7" t="s">
        <v>18</v>
      </c>
      <c r="C364" s="7" t="s">
        <v>4693</v>
      </c>
      <c r="D364" s="7" t="s">
        <v>3894</v>
      </c>
      <c r="E364" s="7" t="s">
        <v>3901</v>
      </c>
      <c r="F364" s="7" t="s">
        <v>3900</v>
      </c>
      <c r="G364" s="7" t="s">
        <v>117</v>
      </c>
      <c r="H364" s="7" t="s">
        <v>119</v>
      </c>
      <c r="I364" s="7" t="s">
        <v>2581</v>
      </c>
      <c r="J364" s="209">
        <v>145600</v>
      </c>
      <c r="K364" s="209">
        <v>36720</v>
      </c>
      <c r="L364" s="209">
        <v>1280</v>
      </c>
      <c r="M364" s="209">
        <v>183600</v>
      </c>
      <c r="N364" s="7" t="s">
        <v>4616</v>
      </c>
      <c r="O364" s="7" t="s">
        <v>126</v>
      </c>
    </row>
    <row r="365" spans="1:15" s="224" customFormat="1" x14ac:dyDescent="0.25">
      <c r="A365" s="7" t="s">
        <v>4409</v>
      </c>
      <c r="B365" s="7" t="s">
        <v>18</v>
      </c>
      <c r="C365" s="7" t="s">
        <v>4693</v>
      </c>
      <c r="D365" s="7" t="s">
        <v>284</v>
      </c>
      <c r="E365" s="7" t="s">
        <v>4408</v>
      </c>
      <c r="F365" s="7" t="s">
        <v>4407</v>
      </c>
      <c r="G365" s="7" t="s">
        <v>117</v>
      </c>
      <c r="H365" s="7" t="s">
        <v>119</v>
      </c>
      <c r="I365" s="7" t="s">
        <v>2581</v>
      </c>
      <c r="J365" s="209">
        <v>86402</v>
      </c>
      <c r="K365" s="209">
        <v>21600.400000000001</v>
      </c>
      <c r="L365" s="209">
        <v>0</v>
      </c>
      <c r="M365" s="209">
        <v>108002</v>
      </c>
      <c r="N365" s="7" t="s">
        <v>4616</v>
      </c>
      <c r="O365" s="7" t="s">
        <v>126</v>
      </c>
    </row>
    <row r="366" spans="1:15" s="224" customFormat="1" x14ac:dyDescent="0.25">
      <c r="A366" s="7" t="s">
        <v>3982</v>
      </c>
      <c r="B366" s="7" t="s">
        <v>90</v>
      </c>
      <c r="C366" s="7" t="s">
        <v>4693</v>
      </c>
      <c r="D366" s="7" t="s">
        <v>284</v>
      </c>
      <c r="E366" s="7" t="s">
        <v>982</v>
      </c>
      <c r="F366" s="7" t="s">
        <v>3981</v>
      </c>
      <c r="G366" s="7" t="s">
        <v>177</v>
      </c>
      <c r="H366" s="7" t="s">
        <v>3780</v>
      </c>
      <c r="I366" s="7" t="s">
        <v>3040</v>
      </c>
      <c r="J366" s="209">
        <v>16000</v>
      </c>
      <c r="K366" s="209">
        <v>4000</v>
      </c>
      <c r="L366" s="209">
        <v>0</v>
      </c>
      <c r="M366" s="209">
        <v>20000</v>
      </c>
      <c r="N366" s="7" t="s">
        <v>323</v>
      </c>
      <c r="O366" s="7" t="s">
        <v>124</v>
      </c>
    </row>
    <row r="367" spans="1:15" s="224" customFormat="1" x14ac:dyDescent="0.25">
      <c r="A367" s="7" t="s">
        <v>3982</v>
      </c>
      <c r="B367" s="7" t="s">
        <v>90</v>
      </c>
      <c r="C367" s="7" t="s">
        <v>4693</v>
      </c>
      <c r="D367" s="7" t="s">
        <v>284</v>
      </c>
      <c r="E367" s="7" t="s">
        <v>982</v>
      </c>
      <c r="F367" s="7" t="s">
        <v>3981</v>
      </c>
      <c r="G367" s="7" t="s">
        <v>2345</v>
      </c>
      <c r="H367" s="7" t="s">
        <v>3780</v>
      </c>
      <c r="I367" s="7" t="s">
        <v>3040</v>
      </c>
      <c r="J367" s="209">
        <v>144000</v>
      </c>
      <c r="K367" s="209">
        <v>36000</v>
      </c>
      <c r="L367" s="209">
        <v>0</v>
      </c>
      <c r="M367" s="209">
        <v>180000</v>
      </c>
      <c r="N367" s="7" t="s">
        <v>323</v>
      </c>
      <c r="O367" s="7" t="s">
        <v>124</v>
      </c>
    </row>
    <row r="368" spans="1:15" s="224" customFormat="1" x14ac:dyDescent="0.25">
      <c r="A368" s="7" t="s">
        <v>3866</v>
      </c>
      <c r="B368" s="7" t="s">
        <v>18</v>
      </c>
      <c r="C368" s="7" t="s">
        <v>4693</v>
      </c>
      <c r="D368" s="7" t="s">
        <v>3187</v>
      </c>
      <c r="E368" s="7" t="s">
        <v>3865</v>
      </c>
      <c r="F368" s="7" t="s">
        <v>3864</v>
      </c>
      <c r="G368" s="7" t="s">
        <v>117</v>
      </c>
      <c r="H368" s="7" t="s">
        <v>119</v>
      </c>
      <c r="I368" s="7" t="s">
        <v>2581</v>
      </c>
      <c r="J368" s="209">
        <v>199980</v>
      </c>
      <c r="K368" s="209">
        <v>49995</v>
      </c>
      <c r="L368" s="209">
        <v>0</v>
      </c>
      <c r="M368" s="209">
        <v>249975</v>
      </c>
      <c r="N368" s="7" t="s">
        <v>79</v>
      </c>
      <c r="O368" s="7" t="s">
        <v>124</v>
      </c>
    </row>
    <row r="369" spans="1:15" s="224" customFormat="1" x14ac:dyDescent="0.25">
      <c r="A369" s="7" t="s">
        <v>2709</v>
      </c>
      <c r="B369" s="7" t="s">
        <v>18</v>
      </c>
      <c r="C369" s="7" t="s">
        <v>4693</v>
      </c>
      <c r="D369" s="7" t="s">
        <v>919</v>
      </c>
      <c r="E369" s="7" t="s">
        <v>2708</v>
      </c>
      <c r="F369" s="7" t="s">
        <v>2707</v>
      </c>
      <c r="G369" s="7" t="s">
        <v>117</v>
      </c>
      <c r="H369" s="7" t="s">
        <v>119</v>
      </c>
      <c r="I369" s="7" t="s">
        <v>2581</v>
      </c>
      <c r="J369" s="209">
        <v>26989</v>
      </c>
      <c r="K369" s="209">
        <v>6747.2000000000007</v>
      </c>
      <c r="L369" s="209">
        <v>0</v>
      </c>
      <c r="M369" s="209">
        <v>33736</v>
      </c>
      <c r="N369" s="7" t="s">
        <v>4623</v>
      </c>
      <c r="O369" s="7" t="s">
        <v>124</v>
      </c>
    </row>
    <row r="370" spans="1:15" s="224" customFormat="1" x14ac:dyDescent="0.25">
      <c r="A370" s="7" t="s">
        <v>4023</v>
      </c>
      <c r="B370" s="7" t="s">
        <v>18</v>
      </c>
      <c r="C370" s="7" t="s">
        <v>4693</v>
      </c>
      <c r="D370" s="7" t="s">
        <v>284</v>
      </c>
      <c r="E370" s="7" t="s">
        <v>4022</v>
      </c>
      <c r="F370" s="7" t="s">
        <v>3900</v>
      </c>
      <c r="G370" s="7" t="s">
        <v>117</v>
      </c>
      <c r="H370" s="7" t="s">
        <v>119</v>
      </c>
      <c r="I370" s="7" t="s">
        <v>2581</v>
      </c>
      <c r="J370" s="209">
        <v>248998</v>
      </c>
      <c r="K370" s="209">
        <v>62249.4</v>
      </c>
      <c r="L370" s="209">
        <v>0</v>
      </c>
      <c r="M370" s="209">
        <v>311247</v>
      </c>
      <c r="N370" s="7" t="s">
        <v>4624</v>
      </c>
      <c r="O370" s="7" t="s">
        <v>124</v>
      </c>
    </row>
    <row r="371" spans="1:15" s="224" customFormat="1" ht="15.75" x14ac:dyDescent="0.25">
      <c r="A371" s="224" t="s">
        <v>4698</v>
      </c>
      <c r="B371" s="227" t="s">
        <v>18</v>
      </c>
      <c r="C371" s="224" t="s">
        <v>4693</v>
      </c>
      <c r="D371" s="227" t="s">
        <v>91</v>
      </c>
      <c r="E371" s="227" t="s">
        <v>200</v>
      </c>
      <c r="F371" s="227" t="s">
        <v>111</v>
      </c>
      <c r="G371" s="224" t="s">
        <v>2345</v>
      </c>
      <c r="H371" s="227" t="s">
        <v>201</v>
      </c>
      <c r="I371" s="227" t="s">
        <v>83</v>
      </c>
      <c r="L371" s="233">
        <v>2390.69</v>
      </c>
      <c r="M371" s="232">
        <v>2390.69</v>
      </c>
      <c r="N371" s="224" t="s">
        <v>4625</v>
      </c>
      <c r="O371" s="224" t="s">
        <v>124</v>
      </c>
    </row>
    <row r="372" spans="1:15" s="224" customFormat="1" ht="15.75" x14ac:dyDescent="0.25">
      <c r="A372" s="224" t="s">
        <v>4698</v>
      </c>
      <c r="B372" s="227" t="s">
        <v>90</v>
      </c>
      <c r="C372" s="224" t="s">
        <v>4693</v>
      </c>
      <c r="D372" s="227" t="s">
        <v>91</v>
      </c>
      <c r="E372" s="227" t="s">
        <v>95</v>
      </c>
      <c r="F372" s="227" t="s">
        <v>105</v>
      </c>
      <c r="G372" s="224" t="s">
        <v>117</v>
      </c>
      <c r="H372" s="227" t="s">
        <v>4728</v>
      </c>
      <c r="I372" s="227" t="s">
        <v>83</v>
      </c>
      <c r="L372" s="232">
        <v>34000</v>
      </c>
      <c r="M372" s="232">
        <v>34000</v>
      </c>
      <c r="N372" s="224" t="s">
        <v>4616</v>
      </c>
      <c r="O372" s="227" t="s">
        <v>126</v>
      </c>
    </row>
    <row r="373" spans="1:15" s="224" customFormat="1" ht="15.75" x14ac:dyDescent="0.25">
      <c r="A373" s="224" t="s">
        <v>4698</v>
      </c>
      <c r="B373" s="227" t="s">
        <v>90</v>
      </c>
      <c r="C373" s="224" t="s">
        <v>4693</v>
      </c>
      <c r="D373" s="227" t="s">
        <v>91</v>
      </c>
      <c r="E373" s="227" t="s">
        <v>95</v>
      </c>
      <c r="F373" s="227" t="s">
        <v>105</v>
      </c>
      <c r="G373" s="224" t="s">
        <v>212</v>
      </c>
      <c r="H373" s="227" t="s">
        <v>4728</v>
      </c>
      <c r="I373" s="227" t="s">
        <v>83</v>
      </c>
      <c r="L373" s="232">
        <v>27000</v>
      </c>
      <c r="M373" s="232">
        <v>27000</v>
      </c>
      <c r="N373" s="224" t="s">
        <v>4616</v>
      </c>
      <c r="O373" s="227" t="s">
        <v>126</v>
      </c>
    </row>
    <row r="374" spans="1:15" s="224" customFormat="1" x14ac:dyDescent="0.25">
      <c r="A374" s="223" t="s">
        <v>4698</v>
      </c>
      <c r="B374" s="224" t="s">
        <v>90</v>
      </c>
      <c r="C374" s="224" t="s">
        <v>4693</v>
      </c>
      <c r="D374" s="225" t="s">
        <v>284</v>
      </c>
      <c r="E374" s="224" t="s">
        <v>285</v>
      </c>
      <c r="F374" s="224" t="s">
        <v>286</v>
      </c>
      <c r="G374" s="224" t="s">
        <v>73</v>
      </c>
      <c r="H374" s="224" t="s">
        <v>245</v>
      </c>
      <c r="I374" s="224" t="s">
        <v>224</v>
      </c>
      <c r="J374" s="226"/>
      <c r="K374" s="226"/>
      <c r="L374" s="226">
        <v>343289.4</v>
      </c>
      <c r="M374" s="226">
        <v>343289.4</v>
      </c>
      <c r="N374" s="224" t="s">
        <v>225</v>
      </c>
      <c r="O374" s="224" t="s">
        <v>125</v>
      </c>
    </row>
    <row r="375" spans="1:15" s="224" customFormat="1" x14ac:dyDescent="0.25">
      <c r="A375" s="7" t="s">
        <v>4477</v>
      </c>
      <c r="B375" s="7" t="s">
        <v>90</v>
      </c>
      <c r="C375" s="7" t="s">
        <v>2815</v>
      </c>
      <c r="D375" s="7" t="s">
        <v>264</v>
      </c>
      <c r="E375" s="7" t="s">
        <v>989</v>
      </c>
      <c r="F375" s="7" t="s">
        <v>4476</v>
      </c>
      <c r="G375" s="7" t="s">
        <v>177</v>
      </c>
      <c r="H375" s="7" t="s">
        <v>178</v>
      </c>
      <c r="I375" s="7" t="s">
        <v>1276</v>
      </c>
      <c r="J375" s="209">
        <v>54000</v>
      </c>
      <c r="K375" s="209">
        <v>6000</v>
      </c>
      <c r="L375" s="209">
        <v>0</v>
      </c>
      <c r="M375" s="209">
        <v>60000</v>
      </c>
      <c r="N375" s="7" t="s">
        <v>4624</v>
      </c>
      <c r="O375" s="7" t="s">
        <v>124</v>
      </c>
    </row>
    <row r="376" spans="1:15" s="224" customFormat="1" x14ac:dyDescent="0.25">
      <c r="A376" s="7" t="s">
        <v>4477</v>
      </c>
      <c r="B376" s="7" t="s">
        <v>18</v>
      </c>
      <c r="C376" s="7" t="s">
        <v>2815</v>
      </c>
      <c r="D376" s="7" t="s">
        <v>264</v>
      </c>
      <c r="E376" s="7" t="s">
        <v>989</v>
      </c>
      <c r="F376" s="7" t="s">
        <v>4476</v>
      </c>
      <c r="G376" s="7" t="s">
        <v>2345</v>
      </c>
      <c r="H376" s="7" t="s">
        <v>75</v>
      </c>
      <c r="I376" s="7" t="s">
        <v>1276</v>
      </c>
      <c r="J376" s="209">
        <v>540000</v>
      </c>
      <c r="K376" s="209">
        <v>60000</v>
      </c>
      <c r="L376" s="209">
        <v>0</v>
      </c>
      <c r="M376" s="209">
        <v>600000</v>
      </c>
      <c r="N376" s="7" t="s">
        <v>4624</v>
      </c>
      <c r="O376" s="7" t="s">
        <v>124</v>
      </c>
    </row>
    <row r="377" spans="1:15" s="224" customFormat="1" x14ac:dyDescent="0.25">
      <c r="A377" s="187" t="s">
        <v>829</v>
      </c>
      <c r="B377" s="61" t="s">
        <v>90</v>
      </c>
      <c r="C377" s="61" t="s">
        <v>2815</v>
      </c>
      <c r="D377" s="199" t="s">
        <v>961</v>
      </c>
      <c r="E377" s="199" t="s">
        <v>588</v>
      </c>
      <c r="F377" s="199" t="s">
        <v>1166</v>
      </c>
      <c r="G377" s="7" t="s">
        <v>2345</v>
      </c>
      <c r="H377" s="199" t="s">
        <v>1195</v>
      </c>
      <c r="I377" s="199" t="s">
        <v>1277</v>
      </c>
      <c r="J377" s="235">
        <v>98874.78</v>
      </c>
      <c r="K377" s="211">
        <v>10986.220000000001</v>
      </c>
      <c r="L377" s="211">
        <v>0</v>
      </c>
      <c r="M377" s="235">
        <v>109861</v>
      </c>
      <c r="N377" s="61" t="s">
        <v>4625</v>
      </c>
      <c r="O377" s="61" t="s">
        <v>125</v>
      </c>
    </row>
    <row r="378" spans="1:15" s="224" customFormat="1" x14ac:dyDescent="0.25">
      <c r="A378" s="223" t="s">
        <v>411</v>
      </c>
      <c r="B378" s="224" t="s">
        <v>90</v>
      </c>
      <c r="C378" s="224" t="s">
        <v>2815</v>
      </c>
      <c r="D378" s="225" t="s">
        <v>412</v>
      </c>
      <c r="E378" s="224" t="s">
        <v>413</v>
      </c>
      <c r="F378" s="224" t="s">
        <v>414</v>
      </c>
      <c r="G378" s="224" t="s">
        <v>177</v>
      </c>
      <c r="H378" s="224" t="s">
        <v>178</v>
      </c>
      <c r="I378" s="224" t="s">
        <v>224</v>
      </c>
      <c r="J378" s="226"/>
      <c r="K378" s="226"/>
      <c r="L378" s="226">
        <v>386372</v>
      </c>
      <c r="M378" s="226">
        <v>386372</v>
      </c>
      <c r="N378" s="224" t="s">
        <v>79</v>
      </c>
      <c r="O378" s="224" t="s">
        <v>124</v>
      </c>
    </row>
    <row r="379" spans="1:15" s="224" customFormat="1" x14ac:dyDescent="0.25">
      <c r="A379" s="223" t="s">
        <v>415</v>
      </c>
      <c r="B379" s="224" t="s">
        <v>90</v>
      </c>
      <c r="C379" s="224" t="s">
        <v>2815</v>
      </c>
      <c r="D379" s="225" t="s">
        <v>416</v>
      </c>
      <c r="E379" s="224" t="s">
        <v>285</v>
      </c>
      <c r="F379" s="224" t="s">
        <v>417</v>
      </c>
      <c r="G379" s="224" t="s">
        <v>73</v>
      </c>
      <c r="H379" s="224" t="s">
        <v>245</v>
      </c>
      <c r="I379" s="224" t="s">
        <v>224</v>
      </c>
      <c r="J379" s="226"/>
      <c r="K379" s="226"/>
      <c r="L379" s="226">
        <v>91084</v>
      </c>
      <c r="M379" s="226">
        <v>91084</v>
      </c>
      <c r="N379" s="224" t="s">
        <v>4624</v>
      </c>
      <c r="O379" s="224" t="s">
        <v>124</v>
      </c>
    </row>
    <row r="380" spans="1:15" s="224" customFormat="1" x14ac:dyDescent="0.25">
      <c r="A380" s="223" t="s">
        <v>418</v>
      </c>
      <c r="B380" s="224" t="s">
        <v>90</v>
      </c>
      <c r="C380" s="224" t="s">
        <v>2815</v>
      </c>
      <c r="D380" s="225" t="s">
        <v>264</v>
      </c>
      <c r="E380" s="224" t="s">
        <v>419</v>
      </c>
      <c r="F380" s="224" t="s">
        <v>420</v>
      </c>
      <c r="G380" s="224" t="s">
        <v>212</v>
      </c>
      <c r="H380" s="224" t="s">
        <v>213</v>
      </c>
      <c r="I380" s="224" t="s">
        <v>224</v>
      </c>
      <c r="J380" s="226"/>
      <c r="K380" s="226"/>
      <c r="L380" s="226">
        <v>15634</v>
      </c>
      <c r="M380" s="226">
        <v>15634</v>
      </c>
      <c r="N380" s="224" t="s">
        <v>4625</v>
      </c>
      <c r="O380" s="224" t="s">
        <v>124</v>
      </c>
    </row>
    <row r="381" spans="1:15" s="224" customFormat="1" x14ac:dyDescent="0.25">
      <c r="A381" s="187" t="s">
        <v>837</v>
      </c>
      <c r="B381" s="61" t="s">
        <v>90</v>
      </c>
      <c r="C381" s="61" t="s">
        <v>2815</v>
      </c>
      <c r="D381" s="199" t="s">
        <v>4648</v>
      </c>
      <c r="E381" s="199" t="s">
        <v>4010</v>
      </c>
      <c r="F381" s="199" t="s">
        <v>4647</v>
      </c>
      <c r="G381" s="7" t="s">
        <v>2345</v>
      </c>
      <c r="H381" s="7" t="s">
        <v>1199</v>
      </c>
      <c r="I381" s="199" t="s">
        <v>1276</v>
      </c>
      <c r="J381" s="235">
        <v>107732.14</v>
      </c>
      <c r="K381" s="211">
        <v>11969.86</v>
      </c>
      <c r="L381" s="211">
        <v>0</v>
      </c>
      <c r="M381" s="235">
        <v>119702</v>
      </c>
      <c r="N381" s="61" t="s">
        <v>624</v>
      </c>
      <c r="O381" s="61" t="s">
        <v>124</v>
      </c>
    </row>
    <row r="382" spans="1:15" s="224" customFormat="1" x14ac:dyDescent="0.25">
      <c r="A382" s="7" t="s">
        <v>3294</v>
      </c>
      <c r="B382" s="7" t="s">
        <v>90</v>
      </c>
      <c r="C382" s="7" t="s">
        <v>2815</v>
      </c>
      <c r="D382" s="7" t="s">
        <v>2008</v>
      </c>
      <c r="E382" s="7" t="s">
        <v>977</v>
      </c>
      <c r="F382" s="7" t="s">
        <v>3293</v>
      </c>
      <c r="G382" s="7" t="s">
        <v>2345</v>
      </c>
      <c r="H382" s="7" t="s">
        <v>74</v>
      </c>
      <c r="I382" s="7" t="s">
        <v>3040</v>
      </c>
      <c r="J382" s="209">
        <v>1814400</v>
      </c>
      <c r="K382" s="209">
        <v>453600</v>
      </c>
      <c r="L382" s="209">
        <v>0</v>
      </c>
      <c r="M382" s="209">
        <v>2268000</v>
      </c>
      <c r="N382" s="7" t="s">
        <v>79</v>
      </c>
      <c r="O382" s="7" t="s">
        <v>125</v>
      </c>
    </row>
    <row r="383" spans="1:15" x14ac:dyDescent="0.25">
      <c r="A383" s="7" t="s">
        <v>3294</v>
      </c>
      <c r="B383" s="7" t="s">
        <v>90</v>
      </c>
      <c r="C383" s="7" t="s">
        <v>2815</v>
      </c>
      <c r="D383" s="7" t="s">
        <v>2008</v>
      </c>
      <c r="E383" s="7" t="s">
        <v>977</v>
      </c>
      <c r="F383" s="7" t="s">
        <v>3293</v>
      </c>
      <c r="G383" s="7" t="s">
        <v>177</v>
      </c>
      <c r="H383" s="7" t="s">
        <v>178</v>
      </c>
      <c r="I383" s="7" t="s">
        <v>3040</v>
      </c>
      <c r="J383" s="209">
        <v>201600</v>
      </c>
      <c r="K383" s="209">
        <v>50400</v>
      </c>
      <c r="L383" s="209">
        <v>0</v>
      </c>
      <c r="M383" s="209">
        <v>252000</v>
      </c>
      <c r="N383" s="7" t="s">
        <v>79</v>
      </c>
      <c r="O383" s="7" t="s">
        <v>124</v>
      </c>
    </row>
    <row r="384" spans="1:15" x14ac:dyDescent="0.25">
      <c r="A384" s="223" t="s">
        <v>421</v>
      </c>
      <c r="B384" s="224" t="s">
        <v>90</v>
      </c>
      <c r="C384" s="224" t="s">
        <v>4693</v>
      </c>
      <c r="D384" s="225" t="s">
        <v>422</v>
      </c>
      <c r="E384" s="224" t="s">
        <v>423</v>
      </c>
      <c r="F384" s="224" t="s">
        <v>424</v>
      </c>
      <c r="G384" s="224" t="s">
        <v>73</v>
      </c>
      <c r="H384" s="224" t="s">
        <v>245</v>
      </c>
      <c r="I384" s="224" t="s">
        <v>224</v>
      </c>
      <c r="J384" s="226"/>
      <c r="K384" s="226"/>
      <c r="L384" s="226">
        <v>159473.35</v>
      </c>
      <c r="M384" s="226">
        <v>159473.35</v>
      </c>
      <c r="N384" s="224" t="s">
        <v>82</v>
      </c>
      <c r="O384" s="224" t="s">
        <v>214</v>
      </c>
    </row>
    <row r="385" spans="1:15" x14ac:dyDescent="0.25">
      <c r="A385" s="223" t="s">
        <v>421</v>
      </c>
      <c r="B385" s="224" t="s">
        <v>90</v>
      </c>
      <c r="C385" s="224" t="s">
        <v>4693</v>
      </c>
      <c r="D385" s="225" t="s">
        <v>422</v>
      </c>
      <c r="E385" s="224" t="s">
        <v>423</v>
      </c>
      <c r="F385" s="224" t="s">
        <v>424</v>
      </c>
      <c r="G385" s="224" t="s">
        <v>73</v>
      </c>
      <c r="H385" s="224" t="s">
        <v>245</v>
      </c>
      <c r="I385" s="224" t="s">
        <v>224</v>
      </c>
      <c r="J385" s="226"/>
      <c r="K385" s="226"/>
      <c r="L385" s="226">
        <v>189457.65</v>
      </c>
      <c r="M385" s="226">
        <v>189457.65</v>
      </c>
      <c r="N385" s="224" t="s">
        <v>82</v>
      </c>
      <c r="O385" s="224" t="s">
        <v>214</v>
      </c>
    </row>
    <row r="386" spans="1:15" x14ac:dyDescent="0.25">
      <c r="A386" s="223" t="s">
        <v>421</v>
      </c>
      <c r="B386" s="224" t="s">
        <v>90</v>
      </c>
      <c r="C386" s="224" t="s">
        <v>4693</v>
      </c>
      <c r="D386" s="225" t="s">
        <v>422</v>
      </c>
      <c r="E386" s="224" t="s">
        <v>423</v>
      </c>
      <c r="F386" s="224" t="s">
        <v>424</v>
      </c>
      <c r="G386" s="224" t="s">
        <v>212</v>
      </c>
      <c r="H386" s="224" t="s">
        <v>213</v>
      </c>
      <c r="I386" s="224" t="s">
        <v>224</v>
      </c>
      <c r="J386" s="226"/>
      <c r="K386" s="226"/>
      <c r="L386" s="226">
        <v>1556299</v>
      </c>
      <c r="M386" s="226">
        <v>1556299</v>
      </c>
      <c r="N386" s="224" t="s">
        <v>82</v>
      </c>
      <c r="O386" s="224" t="s">
        <v>214</v>
      </c>
    </row>
    <row r="387" spans="1:15" x14ac:dyDescent="0.25">
      <c r="A387" s="7" t="s">
        <v>425</v>
      </c>
      <c r="B387" s="7" t="s">
        <v>90</v>
      </c>
      <c r="C387" s="7" t="s">
        <v>2815</v>
      </c>
      <c r="D387" s="7" t="s">
        <v>264</v>
      </c>
      <c r="E387" s="7" t="s">
        <v>4321</v>
      </c>
      <c r="F387" s="7" t="s">
        <v>4320</v>
      </c>
      <c r="G387" s="7" t="s">
        <v>2345</v>
      </c>
      <c r="H387" s="8" t="s">
        <v>219</v>
      </c>
      <c r="I387" s="7" t="s">
        <v>83</v>
      </c>
      <c r="J387" s="209">
        <v>0</v>
      </c>
      <c r="K387" s="209">
        <v>0</v>
      </c>
      <c r="L387" s="209">
        <v>16544</v>
      </c>
      <c r="M387" s="209">
        <v>16544</v>
      </c>
      <c r="N387" s="7" t="s">
        <v>4624</v>
      </c>
      <c r="O387" s="7" t="s">
        <v>124</v>
      </c>
    </row>
    <row r="388" spans="1:15" x14ac:dyDescent="0.25">
      <c r="A388" s="223" t="s">
        <v>425</v>
      </c>
      <c r="B388" s="224" t="s">
        <v>90</v>
      </c>
      <c r="C388" s="224" t="s">
        <v>2815</v>
      </c>
      <c r="D388" s="225" t="s">
        <v>264</v>
      </c>
      <c r="E388" s="224" t="s">
        <v>426</v>
      </c>
      <c r="F388" s="224" t="s">
        <v>427</v>
      </c>
      <c r="G388" s="224" t="s">
        <v>73</v>
      </c>
      <c r="H388" s="224" t="s">
        <v>245</v>
      </c>
      <c r="I388" s="224" t="s">
        <v>224</v>
      </c>
      <c r="J388" s="226"/>
      <c r="K388" s="226"/>
      <c r="L388" s="226">
        <v>279258.95</v>
      </c>
      <c r="M388" s="226">
        <v>279258.95</v>
      </c>
      <c r="N388" s="224" t="s">
        <v>4624</v>
      </c>
      <c r="O388" s="224" t="s">
        <v>124</v>
      </c>
    </row>
    <row r="389" spans="1:15" x14ac:dyDescent="0.25">
      <c r="A389" s="7" t="s">
        <v>425</v>
      </c>
      <c r="B389" s="7" t="s">
        <v>90</v>
      </c>
      <c r="C389" s="7" t="s">
        <v>2815</v>
      </c>
      <c r="D389" s="7" t="s">
        <v>264</v>
      </c>
      <c r="E389" s="7" t="s">
        <v>4321</v>
      </c>
      <c r="F389" s="7" t="s">
        <v>4320</v>
      </c>
      <c r="G389" s="7" t="s">
        <v>177</v>
      </c>
      <c r="H389" s="7" t="s">
        <v>178</v>
      </c>
      <c r="I389" s="7" t="s">
        <v>3040</v>
      </c>
      <c r="J389" s="209">
        <v>223505</v>
      </c>
      <c r="K389" s="209">
        <v>55876.200000000004</v>
      </c>
      <c r="L389" s="209">
        <v>0</v>
      </c>
      <c r="M389" s="209">
        <v>279381</v>
      </c>
      <c r="N389" s="7" t="s">
        <v>4624</v>
      </c>
      <c r="O389" s="7" t="s">
        <v>124</v>
      </c>
    </row>
    <row r="390" spans="1:15" x14ac:dyDescent="0.25">
      <c r="A390" s="7" t="s">
        <v>425</v>
      </c>
      <c r="B390" s="7" t="s">
        <v>90</v>
      </c>
      <c r="C390" s="7" t="s">
        <v>2815</v>
      </c>
      <c r="D390" s="7" t="s">
        <v>264</v>
      </c>
      <c r="E390" s="7" t="s">
        <v>4321</v>
      </c>
      <c r="F390" s="7" t="s">
        <v>4320</v>
      </c>
      <c r="G390" s="7" t="s">
        <v>2345</v>
      </c>
      <c r="H390" s="7" t="s">
        <v>75</v>
      </c>
      <c r="I390" s="7" t="s">
        <v>3040</v>
      </c>
      <c r="J390" s="209">
        <v>1490034</v>
      </c>
      <c r="K390" s="209">
        <v>372508.60000000003</v>
      </c>
      <c r="L390" s="209">
        <v>0</v>
      </c>
      <c r="M390" s="209">
        <v>1862543</v>
      </c>
      <c r="N390" s="7" t="s">
        <v>4624</v>
      </c>
      <c r="O390" s="7" t="s">
        <v>124</v>
      </c>
    </row>
    <row r="391" spans="1:15" x14ac:dyDescent="0.25">
      <c r="A391" s="223" t="s">
        <v>428</v>
      </c>
      <c r="B391" s="224" t="s">
        <v>90</v>
      </c>
      <c r="C391" s="224" t="s">
        <v>2815</v>
      </c>
      <c r="D391" s="225" t="s">
        <v>429</v>
      </c>
      <c r="E391" s="224" t="s">
        <v>430</v>
      </c>
      <c r="F391" s="224" t="s">
        <v>431</v>
      </c>
      <c r="G391" s="224" t="s">
        <v>177</v>
      </c>
      <c r="H391" s="224" t="s">
        <v>178</v>
      </c>
      <c r="I391" s="224" t="s">
        <v>224</v>
      </c>
      <c r="J391" s="226"/>
      <c r="K391" s="226"/>
      <c r="L391" s="226">
        <v>1419313</v>
      </c>
      <c r="M391" s="226">
        <v>1419313</v>
      </c>
      <c r="N391" s="224" t="s">
        <v>387</v>
      </c>
      <c r="O391" s="224" t="s">
        <v>124</v>
      </c>
    </row>
    <row r="392" spans="1:15" x14ac:dyDescent="0.25">
      <c r="A392" s="187" t="s">
        <v>822</v>
      </c>
      <c r="B392" s="61" t="s">
        <v>90</v>
      </c>
      <c r="C392" s="61" t="s">
        <v>2815</v>
      </c>
      <c r="D392" s="199" t="s">
        <v>959</v>
      </c>
      <c r="E392" s="199" t="s">
        <v>1050</v>
      </c>
      <c r="F392" s="199" t="s">
        <v>1161</v>
      </c>
      <c r="G392" s="7" t="s">
        <v>2345</v>
      </c>
      <c r="H392" s="199" t="s">
        <v>1235</v>
      </c>
      <c r="I392" s="199" t="s">
        <v>1276</v>
      </c>
      <c r="J392" s="235">
        <v>833.9</v>
      </c>
      <c r="K392" s="211">
        <v>506.1</v>
      </c>
      <c r="L392" s="211">
        <v>0</v>
      </c>
      <c r="M392" s="235">
        <v>1340</v>
      </c>
      <c r="N392" s="61" t="s">
        <v>4620</v>
      </c>
      <c r="O392" s="61" t="s">
        <v>124</v>
      </c>
    </row>
    <row r="393" spans="1:15" x14ac:dyDescent="0.25">
      <c r="A393" s="187" t="s">
        <v>800</v>
      </c>
      <c r="B393" s="61" t="s">
        <v>90</v>
      </c>
      <c r="C393" s="61" t="s">
        <v>2815</v>
      </c>
      <c r="D393" s="199" t="s">
        <v>952</v>
      </c>
      <c r="E393" s="199" t="s">
        <v>483</v>
      </c>
      <c r="F393" s="199" t="s">
        <v>41</v>
      </c>
      <c r="G393" s="7" t="s">
        <v>2345</v>
      </c>
      <c r="H393" s="199" t="s">
        <v>4749</v>
      </c>
      <c r="I393" s="199" t="s">
        <v>1276</v>
      </c>
      <c r="J393" s="235">
        <v>16418.63</v>
      </c>
      <c r="K393" s="211">
        <v>1824.369999999999</v>
      </c>
      <c r="L393" s="211">
        <v>0</v>
      </c>
      <c r="M393" s="235">
        <v>18243</v>
      </c>
      <c r="N393" s="61" t="s">
        <v>4624</v>
      </c>
      <c r="O393" s="61" t="s">
        <v>124</v>
      </c>
    </row>
    <row r="394" spans="1:15" x14ac:dyDescent="0.25">
      <c r="A394" s="187" t="s">
        <v>804</v>
      </c>
      <c r="B394" s="61" t="s">
        <v>18</v>
      </c>
      <c r="C394" s="61" t="s">
        <v>2815</v>
      </c>
      <c r="D394" s="199" t="s">
        <v>936</v>
      </c>
      <c r="E394" s="199" t="s">
        <v>1035</v>
      </c>
      <c r="F394" s="199" t="s">
        <v>1143</v>
      </c>
      <c r="G394" s="7" t="s">
        <v>2345</v>
      </c>
      <c r="H394" s="7" t="s">
        <v>74</v>
      </c>
      <c r="I394" s="199" t="s">
        <v>2581</v>
      </c>
      <c r="J394" s="235">
        <v>5675.89</v>
      </c>
      <c r="K394" s="211">
        <v>1419.1099999999997</v>
      </c>
      <c r="L394" s="211">
        <v>0</v>
      </c>
      <c r="M394" s="235">
        <v>7095</v>
      </c>
      <c r="N394" s="61" t="s">
        <v>225</v>
      </c>
      <c r="O394" s="61" t="s">
        <v>125</v>
      </c>
    </row>
    <row r="395" spans="1:15" x14ac:dyDescent="0.25">
      <c r="A395" s="7" t="s">
        <v>3620</v>
      </c>
      <c r="B395" s="7" t="s">
        <v>18</v>
      </c>
      <c r="C395" s="7" t="s">
        <v>2815</v>
      </c>
      <c r="D395" s="7" t="s">
        <v>3619</v>
      </c>
      <c r="E395" s="7" t="s">
        <v>3618</v>
      </c>
      <c r="F395" s="7" t="s">
        <v>3618</v>
      </c>
      <c r="G395" s="7" t="s">
        <v>117</v>
      </c>
      <c r="H395" s="7" t="s">
        <v>119</v>
      </c>
      <c r="I395" s="7" t="s">
        <v>1278</v>
      </c>
      <c r="J395" s="209">
        <v>5900</v>
      </c>
      <c r="K395" s="209">
        <v>0</v>
      </c>
      <c r="L395" s="209">
        <v>0</v>
      </c>
      <c r="M395" s="209">
        <v>5900</v>
      </c>
      <c r="N395" s="7" t="s">
        <v>624</v>
      </c>
      <c r="O395" s="7" t="s">
        <v>124</v>
      </c>
    </row>
    <row r="396" spans="1:15" x14ac:dyDescent="0.25">
      <c r="A396" s="7" t="s">
        <v>4566</v>
      </c>
      <c r="B396" s="7" t="s">
        <v>18</v>
      </c>
      <c r="C396" s="7" t="s">
        <v>2815</v>
      </c>
      <c r="D396" s="7" t="s">
        <v>3619</v>
      </c>
      <c r="E396" s="7" t="s">
        <v>4565</v>
      </c>
      <c r="F396" s="7" t="s">
        <v>4565</v>
      </c>
      <c r="G396" s="7" t="s">
        <v>117</v>
      </c>
      <c r="H396" s="7" t="s">
        <v>4564</v>
      </c>
      <c r="I396" s="7" t="s">
        <v>1278</v>
      </c>
      <c r="J396" s="209">
        <v>12450</v>
      </c>
      <c r="K396" s="209">
        <v>0</v>
      </c>
      <c r="L396" s="209">
        <v>0</v>
      </c>
      <c r="M396" s="209">
        <v>12450</v>
      </c>
      <c r="N396" s="7" t="s">
        <v>624</v>
      </c>
      <c r="O396" s="7" t="s">
        <v>124</v>
      </c>
    </row>
    <row r="397" spans="1:15" x14ac:dyDescent="0.25">
      <c r="A397" s="187" t="s">
        <v>834</v>
      </c>
      <c r="B397" s="61" t="s">
        <v>18</v>
      </c>
      <c r="C397" s="61" t="s">
        <v>2815</v>
      </c>
      <c r="D397" s="199" t="s">
        <v>966</v>
      </c>
      <c r="E397" s="199" t="s">
        <v>1055</v>
      </c>
      <c r="F397" s="199" t="s">
        <v>1172</v>
      </c>
      <c r="G397" s="7" t="s">
        <v>2345</v>
      </c>
      <c r="H397" s="199" t="s">
        <v>4735</v>
      </c>
      <c r="I397" s="199" t="s">
        <v>2581</v>
      </c>
      <c r="J397" s="235">
        <v>121698.46</v>
      </c>
      <c r="K397" s="211">
        <v>52156.539999999994</v>
      </c>
      <c r="L397" s="211">
        <v>0</v>
      </c>
      <c r="M397" s="235">
        <v>173855</v>
      </c>
      <c r="N397" s="61" t="s">
        <v>225</v>
      </c>
      <c r="O397" s="61" t="s">
        <v>125</v>
      </c>
    </row>
    <row r="398" spans="1:15" x14ac:dyDescent="0.25">
      <c r="A398" s="187" t="s">
        <v>749</v>
      </c>
      <c r="B398" s="61" t="s">
        <v>90</v>
      </c>
      <c r="C398" s="61" t="s">
        <v>2815</v>
      </c>
      <c r="D398" s="199" t="s">
        <v>930</v>
      </c>
      <c r="E398" s="199" t="s">
        <v>994</v>
      </c>
      <c r="F398" s="199" t="s">
        <v>1101</v>
      </c>
      <c r="G398" s="7" t="s">
        <v>2345</v>
      </c>
      <c r="H398" s="199" t="s">
        <v>1211</v>
      </c>
      <c r="I398" s="61" t="s">
        <v>867</v>
      </c>
      <c r="J398" s="235">
        <v>28237</v>
      </c>
      <c r="K398" s="211">
        <v>7059</v>
      </c>
      <c r="L398" s="211">
        <v>0</v>
      </c>
      <c r="M398" s="235">
        <v>35296</v>
      </c>
      <c r="N398" s="61" t="s">
        <v>4624</v>
      </c>
      <c r="O398" s="61" t="s">
        <v>124</v>
      </c>
    </row>
    <row r="399" spans="1:15" x14ac:dyDescent="0.25">
      <c r="A399" s="187" t="s">
        <v>749</v>
      </c>
      <c r="B399" s="61" t="s">
        <v>18</v>
      </c>
      <c r="C399" s="61" t="s">
        <v>2815</v>
      </c>
      <c r="D399" s="199" t="s">
        <v>930</v>
      </c>
      <c r="E399" s="199" t="s">
        <v>994</v>
      </c>
      <c r="F399" s="199" t="s">
        <v>1101</v>
      </c>
      <c r="G399" s="7" t="s">
        <v>2345</v>
      </c>
      <c r="H399" s="199" t="s">
        <v>1211</v>
      </c>
      <c r="I399" s="199" t="s">
        <v>1275</v>
      </c>
      <c r="J399" s="235">
        <v>643056</v>
      </c>
      <c r="K399" s="211">
        <v>160764</v>
      </c>
      <c r="L399" s="211">
        <v>0</v>
      </c>
      <c r="M399" s="235">
        <v>803820</v>
      </c>
      <c r="N399" s="61" t="s">
        <v>4624</v>
      </c>
      <c r="O399" s="61" t="s">
        <v>124</v>
      </c>
    </row>
    <row r="400" spans="1:15" x14ac:dyDescent="0.25">
      <c r="A400" s="187" t="s">
        <v>749</v>
      </c>
      <c r="B400" s="61" t="s">
        <v>90</v>
      </c>
      <c r="C400" s="61" t="s">
        <v>2815</v>
      </c>
      <c r="D400" s="199" t="s">
        <v>930</v>
      </c>
      <c r="E400" s="199" t="s">
        <v>4681</v>
      </c>
      <c r="F400" s="199" t="s">
        <v>1101</v>
      </c>
      <c r="G400" s="7" t="s">
        <v>2345</v>
      </c>
      <c r="H400" s="199" t="s">
        <v>1211</v>
      </c>
      <c r="I400" s="199" t="s">
        <v>2581</v>
      </c>
      <c r="J400" s="235">
        <v>55293</v>
      </c>
      <c r="K400" s="211">
        <v>13823</v>
      </c>
      <c r="L400" s="211">
        <v>0</v>
      </c>
      <c r="M400" s="235">
        <v>69116</v>
      </c>
      <c r="N400" s="61" t="s">
        <v>4624</v>
      </c>
      <c r="O400" s="61" t="s">
        <v>124</v>
      </c>
    </row>
    <row r="401" spans="1:15" x14ac:dyDescent="0.25">
      <c r="A401" s="187" t="s">
        <v>778</v>
      </c>
      <c r="B401" s="61" t="s">
        <v>18</v>
      </c>
      <c r="C401" s="61" t="s">
        <v>2815</v>
      </c>
      <c r="D401" s="199" t="s">
        <v>433</v>
      </c>
      <c r="E401" s="199" t="s">
        <v>1015</v>
      </c>
      <c r="F401" s="199" t="s">
        <v>1124</v>
      </c>
      <c r="G401" s="7" t="s">
        <v>2345</v>
      </c>
      <c r="H401" s="199" t="s">
        <v>74</v>
      </c>
      <c r="I401" s="199" t="s">
        <v>2581</v>
      </c>
      <c r="J401" s="235">
        <v>18388</v>
      </c>
      <c r="K401" s="211">
        <v>4597</v>
      </c>
      <c r="L401" s="211">
        <v>0</v>
      </c>
      <c r="M401" s="235">
        <v>22985</v>
      </c>
      <c r="N401" s="61" t="s">
        <v>225</v>
      </c>
      <c r="O401" s="61" t="s">
        <v>125</v>
      </c>
    </row>
    <row r="402" spans="1:15" x14ac:dyDescent="0.25">
      <c r="A402" s="187" t="s">
        <v>778</v>
      </c>
      <c r="B402" s="61" t="s">
        <v>18</v>
      </c>
      <c r="C402" s="61" t="s">
        <v>2815</v>
      </c>
      <c r="D402" s="199" t="s">
        <v>433</v>
      </c>
      <c r="E402" s="199" t="s">
        <v>1015</v>
      </c>
      <c r="F402" s="199" t="s">
        <v>1124</v>
      </c>
      <c r="G402" s="7" t="s">
        <v>2345</v>
      </c>
      <c r="H402" s="199" t="s">
        <v>74</v>
      </c>
      <c r="I402" s="199" t="s">
        <v>2581</v>
      </c>
      <c r="J402" s="235">
        <v>7681.79</v>
      </c>
      <c r="K402" s="211">
        <v>1920.21</v>
      </c>
      <c r="L402" s="211">
        <v>0</v>
      </c>
      <c r="M402" s="235">
        <v>9602</v>
      </c>
      <c r="N402" s="61" t="s">
        <v>225</v>
      </c>
      <c r="O402" s="61" t="s">
        <v>125</v>
      </c>
    </row>
    <row r="403" spans="1:15" x14ac:dyDescent="0.25">
      <c r="A403" s="7" t="s">
        <v>3458</v>
      </c>
      <c r="B403" s="7" t="s">
        <v>18</v>
      </c>
      <c r="C403" s="7" t="s">
        <v>2815</v>
      </c>
      <c r="D403" s="7" t="s">
        <v>3457</v>
      </c>
      <c r="E403" s="7" t="s">
        <v>3456</v>
      </c>
      <c r="F403" s="7" t="s">
        <v>3455</v>
      </c>
      <c r="G403" s="224" t="s">
        <v>212</v>
      </c>
      <c r="H403" s="7" t="s">
        <v>213</v>
      </c>
      <c r="I403" s="7" t="s">
        <v>1277</v>
      </c>
      <c r="J403" s="209">
        <v>75490</v>
      </c>
      <c r="K403" s="209">
        <v>18872.400000000001</v>
      </c>
      <c r="L403" s="209">
        <v>0</v>
      </c>
      <c r="M403" s="209">
        <v>94362</v>
      </c>
      <c r="N403" s="7" t="s">
        <v>4625</v>
      </c>
      <c r="O403" s="7" t="s">
        <v>124</v>
      </c>
    </row>
    <row r="404" spans="1:15" x14ac:dyDescent="0.25">
      <c r="A404" s="7" t="s">
        <v>3596</v>
      </c>
      <c r="B404" s="7" t="s">
        <v>18</v>
      </c>
      <c r="C404" s="7" t="s">
        <v>2815</v>
      </c>
      <c r="D404" s="7" t="s">
        <v>416</v>
      </c>
      <c r="E404" s="7" t="s">
        <v>1074</v>
      </c>
      <c r="F404" s="7" t="s">
        <v>3595</v>
      </c>
      <c r="G404" s="7" t="s">
        <v>117</v>
      </c>
      <c r="H404" s="7" t="s">
        <v>119</v>
      </c>
      <c r="I404" s="7" t="s">
        <v>2781</v>
      </c>
      <c r="J404" s="209">
        <v>145173</v>
      </c>
      <c r="K404" s="209">
        <v>36293.200000000004</v>
      </c>
      <c r="L404" s="209">
        <v>0</v>
      </c>
      <c r="M404" s="209">
        <v>181466</v>
      </c>
      <c r="N404" s="7" t="s">
        <v>4621</v>
      </c>
      <c r="O404" s="7" t="s">
        <v>124</v>
      </c>
    </row>
    <row r="405" spans="1:15" x14ac:dyDescent="0.25">
      <c r="A405" s="7" t="s">
        <v>3596</v>
      </c>
      <c r="B405" s="7" t="s">
        <v>18</v>
      </c>
      <c r="C405" s="7" t="s">
        <v>2815</v>
      </c>
      <c r="D405" s="7" t="s">
        <v>416</v>
      </c>
      <c r="E405" s="7" t="s">
        <v>1074</v>
      </c>
      <c r="F405" s="7" t="s">
        <v>3595</v>
      </c>
      <c r="G405" s="7" t="s">
        <v>117</v>
      </c>
      <c r="H405" s="7" t="s">
        <v>119</v>
      </c>
      <c r="I405" s="7" t="s">
        <v>2781</v>
      </c>
      <c r="J405" s="209">
        <v>0</v>
      </c>
      <c r="K405" s="209">
        <v>0</v>
      </c>
      <c r="L405" s="209">
        <v>0</v>
      </c>
      <c r="M405" s="209">
        <v>0</v>
      </c>
      <c r="N405" s="7" t="s">
        <v>4621</v>
      </c>
      <c r="O405" s="7" t="s">
        <v>124</v>
      </c>
    </row>
    <row r="406" spans="1:15" x14ac:dyDescent="0.25">
      <c r="A406" s="187" t="s">
        <v>812</v>
      </c>
      <c r="B406" s="61" t="s">
        <v>90</v>
      </c>
      <c r="C406" s="61" t="s">
        <v>2815</v>
      </c>
      <c r="D406" s="199" t="s">
        <v>957</v>
      </c>
      <c r="E406" s="199" t="s">
        <v>4670</v>
      </c>
      <c r="F406" s="199" t="s">
        <v>4671</v>
      </c>
      <c r="G406" s="7" t="s">
        <v>2345</v>
      </c>
      <c r="H406" s="199" t="s">
        <v>4749</v>
      </c>
      <c r="I406" s="199" t="s">
        <v>1276</v>
      </c>
      <c r="J406" s="235">
        <v>39002.620000000003</v>
      </c>
      <c r="K406" s="211">
        <v>4333.3799999999974</v>
      </c>
      <c r="L406" s="211">
        <v>0</v>
      </c>
      <c r="M406" s="235">
        <v>43336</v>
      </c>
      <c r="N406" s="61" t="s">
        <v>4624</v>
      </c>
      <c r="O406" s="61" t="s">
        <v>124</v>
      </c>
    </row>
    <row r="407" spans="1:15" x14ac:dyDescent="0.25">
      <c r="A407" s="7" t="s">
        <v>2816</v>
      </c>
      <c r="B407" s="7" t="s">
        <v>18</v>
      </c>
      <c r="C407" s="7" t="s">
        <v>2815</v>
      </c>
      <c r="D407" s="7" t="s">
        <v>966</v>
      </c>
      <c r="E407" s="7" t="s">
        <v>2814</v>
      </c>
      <c r="F407" s="7" t="s">
        <v>2813</v>
      </c>
      <c r="G407" s="7" t="s">
        <v>2345</v>
      </c>
      <c r="H407" s="7" t="s">
        <v>74</v>
      </c>
      <c r="I407" s="7" t="s">
        <v>2581</v>
      </c>
      <c r="J407" s="209">
        <v>1380000</v>
      </c>
      <c r="K407" s="209">
        <v>455386.80000000005</v>
      </c>
      <c r="L407" s="209">
        <v>441547.19999999995</v>
      </c>
      <c r="M407" s="209">
        <v>2276934</v>
      </c>
      <c r="N407" s="7" t="s">
        <v>225</v>
      </c>
      <c r="O407" s="7" t="s">
        <v>125</v>
      </c>
    </row>
    <row r="408" spans="1:15" x14ac:dyDescent="0.25">
      <c r="A408" s="7" t="s">
        <v>2816</v>
      </c>
      <c r="B408" s="7" t="s">
        <v>18</v>
      </c>
      <c r="C408" s="7" t="s">
        <v>2815</v>
      </c>
      <c r="D408" s="7" t="s">
        <v>966</v>
      </c>
      <c r="E408" s="7" t="s">
        <v>2814</v>
      </c>
      <c r="F408" s="7" t="s">
        <v>2813</v>
      </c>
      <c r="G408" s="7" t="s">
        <v>117</v>
      </c>
      <c r="H408" s="7" t="s">
        <v>119</v>
      </c>
      <c r="I408" s="7" t="s">
        <v>2581</v>
      </c>
      <c r="J408" s="209">
        <v>87261</v>
      </c>
      <c r="K408" s="209">
        <v>10907.6</v>
      </c>
      <c r="L408" s="209">
        <v>10907.399999999994</v>
      </c>
      <c r="M408" s="209">
        <v>109076</v>
      </c>
      <c r="N408" s="7" t="s">
        <v>4624</v>
      </c>
      <c r="O408" s="7" t="s">
        <v>124</v>
      </c>
    </row>
    <row r="409" spans="1:15" x14ac:dyDescent="0.25">
      <c r="A409" s="7" t="s">
        <v>2816</v>
      </c>
      <c r="B409" s="7" t="s">
        <v>18</v>
      </c>
      <c r="C409" s="7" t="s">
        <v>2815</v>
      </c>
      <c r="D409" s="7" t="s">
        <v>966</v>
      </c>
      <c r="E409" s="7" t="s">
        <v>2814</v>
      </c>
      <c r="F409" s="7" t="s">
        <v>2813</v>
      </c>
      <c r="G409" s="7" t="s">
        <v>177</v>
      </c>
      <c r="H409" s="7" t="s">
        <v>178</v>
      </c>
      <c r="I409" s="7" t="s">
        <v>2581</v>
      </c>
      <c r="J409" s="209">
        <v>138000</v>
      </c>
      <c r="K409" s="209">
        <v>41771.200000000004</v>
      </c>
      <c r="L409" s="209">
        <v>29084.799999999988</v>
      </c>
      <c r="M409" s="209">
        <v>208856</v>
      </c>
      <c r="N409" s="7" t="s">
        <v>225</v>
      </c>
      <c r="O409" s="7" t="s">
        <v>125</v>
      </c>
    </row>
    <row r="410" spans="1:15" x14ac:dyDescent="0.25">
      <c r="A410" s="7" t="s">
        <v>2013</v>
      </c>
      <c r="B410" s="7" t="s">
        <v>18</v>
      </c>
      <c r="C410" s="7" t="s">
        <v>2815</v>
      </c>
      <c r="D410" s="7" t="s">
        <v>966</v>
      </c>
      <c r="E410" s="7" t="s">
        <v>41</v>
      </c>
      <c r="F410" s="7" t="s">
        <v>3705</v>
      </c>
      <c r="G410" s="7" t="s">
        <v>2345</v>
      </c>
      <c r="H410" s="7" t="s">
        <v>3704</v>
      </c>
      <c r="I410" s="7" t="s">
        <v>2284</v>
      </c>
      <c r="J410" s="209">
        <v>95991</v>
      </c>
      <c r="K410" s="209">
        <v>23997.800000000003</v>
      </c>
      <c r="L410" s="209">
        <v>0</v>
      </c>
      <c r="M410" s="209">
        <v>119989</v>
      </c>
      <c r="N410" s="7" t="s">
        <v>4623</v>
      </c>
      <c r="O410" s="7" t="s">
        <v>124</v>
      </c>
    </row>
    <row r="411" spans="1:15" x14ac:dyDescent="0.25">
      <c r="A411" s="7" t="s">
        <v>2017</v>
      </c>
      <c r="B411" s="7" t="s">
        <v>18</v>
      </c>
      <c r="C411" s="7" t="s">
        <v>2815</v>
      </c>
      <c r="D411" s="7" t="s">
        <v>966</v>
      </c>
      <c r="E411" s="7" t="s">
        <v>41</v>
      </c>
      <c r="F411" s="7" t="s">
        <v>4387</v>
      </c>
      <c r="G411" s="7" t="s">
        <v>2345</v>
      </c>
      <c r="H411" s="7" t="s">
        <v>4738</v>
      </c>
      <c r="I411" s="7" t="s">
        <v>2284</v>
      </c>
      <c r="J411" s="209">
        <v>405000</v>
      </c>
      <c r="K411" s="209">
        <v>101280</v>
      </c>
      <c r="L411" s="209">
        <v>0</v>
      </c>
      <c r="M411" s="209">
        <v>506400</v>
      </c>
      <c r="N411" s="7" t="s">
        <v>4623</v>
      </c>
      <c r="O411" s="7" t="s">
        <v>124</v>
      </c>
    </row>
    <row r="412" spans="1:15" x14ac:dyDescent="0.25">
      <c r="A412" s="7" t="s">
        <v>3628</v>
      </c>
      <c r="B412" s="7" t="s">
        <v>18</v>
      </c>
      <c r="C412" s="7" t="s">
        <v>2815</v>
      </c>
      <c r="D412" s="7" t="s">
        <v>3627</v>
      </c>
      <c r="E412" s="7" t="s">
        <v>3626</v>
      </c>
      <c r="F412" s="7" t="s">
        <v>3625</v>
      </c>
      <c r="G412" s="7" t="s">
        <v>117</v>
      </c>
      <c r="H412" s="7" t="s">
        <v>119</v>
      </c>
      <c r="I412" s="7" t="s">
        <v>2581</v>
      </c>
      <c r="J412" s="209">
        <v>99200</v>
      </c>
      <c r="K412" s="209">
        <v>24800</v>
      </c>
      <c r="L412" s="209">
        <v>0</v>
      </c>
      <c r="M412" s="209">
        <v>124000</v>
      </c>
      <c r="N412" s="7" t="s">
        <v>4623</v>
      </c>
      <c r="O412" s="7" t="s">
        <v>124</v>
      </c>
    </row>
    <row r="413" spans="1:15" x14ac:dyDescent="0.25">
      <c r="A413" s="187" t="s">
        <v>760</v>
      </c>
      <c r="B413" s="61" t="s">
        <v>18</v>
      </c>
      <c r="C413" s="61" t="s">
        <v>2815</v>
      </c>
      <c r="D413" s="199" t="s">
        <v>935</v>
      </c>
      <c r="E413" s="199" t="s">
        <v>1002</v>
      </c>
      <c r="F413" s="199" t="s">
        <v>4672</v>
      </c>
      <c r="G413" s="7" t="s">
        <v>2345</v>
      </c>
      <c r="H413" s="199" t="s">
        <v>74</v>
      </c>
      <c r="I413" s="199" t="s">
        <v>2581</v>
      </c>
      <c r="J413" s="235">
        <v>92607</v>
      </c>
      <c r="K413" s="211">
        <v>23152</v>
      </c>
      <c r="L413" s="211">
        <v>0</v>
      </c>
      <c r="M413" s="235">
        <v>115759</v>
      </c>
      <c r="N413" s="61" t="s">
        <v>225</v>
      </c>
      <c r="O413" s="61" t="s">
        <v>125</v>
      </c>
    </row>
    <row r="414" spans="1:15" x14ac:dyDescent="0.25">
      <c r="A414" s="187" t="s">
        <v>759</v>
      </c>
      <c r="B414" s="61" t="s">
        <v>18</v>
      </c>
      <c r="C414" s="61" t="s">
        <v>2815</v>
      </c>
      <c r="D414" s="199" t="s">
        <v>429</v>
      </c>
      <c r="E414" s="199" t="s">
        <v>1001</v>
      </c>
      <c r="F414" s="199" t="s">
        <v>1109</v>
      </c>
      <c r="G414" s="7" t="s">
        <v>2345</v>
      </c>
      <c r="H414" s="199" t="s">
        <v>74</v>
      </c>
      <c r="I414" s="199" t="s">
        <v>2581</v>
      </c>
      <c r="J414" s="235">
        <v>453760</v>
      </c>
      <c r="K414" s="211">
        <v>113440</v>
      </c>
      <c r="L414" s="211">
        <v>0</v>
      </c>
      <c r="M414" s="235">
        <v>567200</v>
      </c>
      <c r="N414" s="61" t="s">
        <v>225</v>
      </c>
      <c r="O414" s="61" t="s">
        <v>125</v>
      </c>
    </row>
    <row r="415" spans="1:15" x14ac:dyDescent="0.25">
      <c r="A415" s="187" t="s">
        <v>759</v>
      </c>
      <c r="B415" s="61" t="s">
        <v>18</v>
      </c>
      <c r="C415" s="61" t="s">
        <v>2815</v>
      </c>
      <c r="D415" s="199" t="s">
        <v>429</v>
      </c>
      <c r="E415" s="199" t="s">
        <v>1001</v>
      </c>
      <c r="F415" s="199" t="s">
        <v>1109</v>
      </c>
      <c r="G415" s="7" t="s">
        <v>2345</v>
      </c>
      <c r="H415" s="199" t="s">
        <v>74</v>
      </c>
      <c r="I415" s="199" t="s">
        <v>2581</v>
      </c>
      <c r="J415" s="235">
        <v>37760</v>
      </c>
      <c r="K415" s="211">
        <v>9440</v>
      </c>
      <c r="L415" s="211">
        <v>0</v>
      </c>
      <c r="M415" s="235">
        <v>47200</v>
      </c>
      <c r="N415" s="61" t="s">
        <v>225</v>
      </c>
      <c r="O415" s="61" t="s">
        <v>125</v>
      </c>
    </row>
    <row r="416" spans="1:15" x14ac:dyDescent="0.25">
      <c r="A416" s="187" t="s">
        <v>762</v>
      </c>
      <c r="B416" s="61" t="s">
        <v>18</v>
      </c>
      <c r="C416" s="61" t="s">
        <v>2815</v>
      </c>
      <c r="D416" s="199" t="s">
        <v>914</v>
      </c>
      <c r="E416" s="199" t="s">
        <v>1004</v>
      </c>
      <c r="F416" s="199" t="s">
        <v>1111</v>
      </c>
      <c r="G416" s="7" t="s">
        <v>2345</v>
      </c>
      <c r="H416" s="199" t="s">
        <v>74</v>
      </c>
      <c r="I416" s="199" t="s">
        <v>2581</v>
      </c>
      <c r="J416" s="235">
        <v>28172</v>
      </c>
      <c r="K416" s="211">
        <v>7043</v>
      </c>
      <c r="L416" s="211">
        <v>0</v>
      </c>
      <c r="M416" s="235">
        <v>35215</v>
      </c>
      <c r="N416" s="61" t="s">
        <v>225</v>
      </c>
      <c r="O416" s="61" t="s">
        <v>125</v>
      </c>
    </row>
    <row r="417" spans="1:15" x14ac:dyDescent="0.25">
      <c r="A417" s="7" t="s">
        <v>3166</v>
      </c>
      <c r="B417" s="7" t="s">
        <v>18</v>
      </c>
      <c r="C417" s="7" t="s">
        <v>2815</v>
      </c>
      <c r="D417" s="7" t="s">
        <v>3165</v>
      </c>
      <c r="E417" s="7" t="s">
        <v>3164</v>
      </c>
      <c r="F417" s="7" t="s">
        <v>3164</v>
      </c>
      <c r="G417" s="7" t="s">
        <v>2345</v>
      </c>
      <c r="H417" s="7" t="s">
        <v>3163</v>
      </c>
      <c r="I417" s="7" t="s">
        <v>2581</v>
      </c>
      <c r="J417" s="209">
        <v>125000</v>
      </c>
      <c r="K417" s="209">
        <v>31250</v>
      </c>
      <c r="L417" s="209">
        <v>98250</v>
      </c>
      <c r="M417" s="209">
        <v>254500</v>
      </c>
      <c r="N417" s="7" t="s">
        <v>2286</v>
      </c>
      <c r="O417" s="7" t="s">
        <v>124</v>
      </c>
    </row>
    <row r="418" spans="1:15" x14ac:dyDescent="0.25">
      <c r="A418" s="7" t="s">
        <v>3211</v>
      </c>
      <c r="B418" s="7" t="s">
        <v>18</v>
      </c>
      <c r="C418" s="7" t="s">
        <v>2815</v>
      </c>
      <c r="D418" s="7" t="s">
        <v>2024</v>
      </c>
      <c r="E418" s="7" t="s">
        <v>3210</v>
      </c>
      <c r="F418" s="7" t="s">
        <v>3202</v>
      </c>
      <c r="G418" s="7" t="s">
        <v>2345</v>
      </c>
      <c r="H418" s="7" t="s">
        <v>74</v>
      </c>
      <c r="I418" s="7" t="s">
        <v>2581</v>
      </c>
      <c r="J418" s="209">
        <v>203671</v>
      </c>
      <c r="K418" s="209">
        <v>50917.8</v>
      </c>
      <c r="L418" s="209">
        <v>0</v>
      </c>
      <c r="M418" s="209">
        <v>254589</v>
      </c>
      <c r="N418" s="7" t="s">
        <v>225</v>
      </c>
      <c r="O418" s="7" t="s">
        <v>125</v>
      </c>
    </row>
    <row r="419" spans="1:15" x14ac:dyDescent="0.25">
      <c r="A419" s="7" t="s">
        <v>3211</v>
      </c>
      <c r="B419" s="7" t="s">
        <v>18</v>
      </c>
      <c r="C419" s="7" t="s">
        <v>2815</v>
      </c>
      <c r="D419" s="7" t="s">
        <v>2024</v>
      </c>
      <c r="E419" s="7" t="s">
        <v>3210</v>
      </c>
      <c r="F419" s="7" t="s">
        <v>3202</v>
      </c>
      <c r="G419" s="7" t="s">
        <v>177</v>
      </c>
      <c r="H419" s="7" t="s">
        <v>178</v>
      </c>
      <c r="I419" s="7" t="s">
        <v>2581</v>
      </c>
      <c r="J419" s="209">
        <v>28000</v>
      </c>
      <c r="K419" s="209">
        <v>7000</v>
      </c>
      <c r="L419" s="209">
        <v>0</v>
      </c>
      <c r="M419" s="209">
        <v>35000</v>
      </c>
      <c r="N419" s="7" t="s">
        <v>225</v>
      </c>
      <c r="O419" s="7" t="s">
        <v>125</v>
      </c>
    </row>
    <row r="420" spans="1:15" x14ac:dyDescent="0.25">
      <c r="A420" s="7" t="s">
        <v>3204</v>
      </c>
      <c r="B420" s="7" t="s">
        <v>18</v>
      </c>
      <c r="C420" s="7" t="s">
        <v>2815</v>
      </c>
      <c r="D420" s="7" t="s">
        <v>2024</v>
      </c>
      <c r="E420" s="7" t="s">
        <v>3203</v>
      </c>
      <c r="F420" s="7" t="s">
        <v>3202</v>
      </c>
      <c r="G420" s="7" t="s">
        <v>2345</v>
      </c>
      <c r="H420" s="7" t="s">
        <v>74</v>
      </c>
      <c r="I420" s="7" t="s">
        <v>2581</v>
      </c>
      <c r="J420" s="209">
        <v>238556</v>
      </c>
      <c r="K420" s="209">
        <v>59639</v>
      </c>
      <c r="L420" s="209">
        <v>0</v>
      </c>
      <c r="M420" s="209">
        <v>298195</v>
      </c>
      <c r="N420" s="7" t="s">
        <v>225</v>
      </c>
      <c r="O420" s="7" t="s">
        <v>125</v>
      </c>
    </row>
    <row r="421" spans="1:15" ht="17.25" customHeight="1" x14ac:dyDescent="0.25">
      <c r="A421" s="7" t="s">
        <v>3204</v>
      </c>
      <c r="B421" s="7" t="s">
        <v>18</v>
      </c>
      <c r="C421" s="7" t="s">
        <v>2815</v>
      </c>
      <c r="D421" s="7" t="s">
        <v>2024</v>
      </c>
      <c r="E421" s="7" t="s">
        <v>3203</v>
      </c>
      <c r="F421" s="7" t="s">
        <v>3202</v>
      </c>
      <c r="G421" s="7" t="s">
        <v>177</v>
      </c>
      <c r="H421" s="7" t="s">
        <v>178</v>
      </c>
      <c r="I421" s="7" t="s">
        <v>2581</v>
      </c>
      <c r="J421" s="209">
        <v>32000</v>
      </c>
      <c r="K421" s="209">
        <v>8000</v>
      </c>
      <c r="L421" s="209">
        <v>0</v>
      </c>
      <c r="M421" s="209">
        <v>40000</v>
      </c>
      <c r="N421" s="7" t="s">
        <v>225</v>
      </c>
      <c r="O421" s="7" t="s">
        <v>125</v>
      </c>
    </row>
    <row r="422" spans="1:15" x14ac:dyDescent="0.25">
      <c r="A422" s="187" t="s">
        <v>768</v>
      </c>
      <c r="B422" s="61" t="s">
        <v>18</v>
      </c>
      <c r="C422" s="61" t="s">
        <v>2815</v>
      </c>
      <c r="D422" s="199" t="s">
        <v>936</v>
      </c>
      <c r="E422" s="199" t="s">
        <v>1007</v>
      </c>
      <c r="F422" s="199" t="s">
        <v>1084</v>
      </c>
      <c r="G422" s="7" t="s">
        <v>2345</v>
      </c>
      <c r="H422" s="8" t="s">
        <v>135</v>
      </c>
      <c r="I422" s="199" t="s">
        <v>2581</v>
      </c>
      <c r="J422" s="235">
        <v>42942</v>
      </c>
      <c r="K422" s="211">
        <v>10736</v>
      </c>
      <c r="L422" s="211">
        <v>0</v>
      </c>
      <c r="M422" s="235">
        <v>53678</v>
      </c>
      <c r="N422" s="61" t="s">
        <v>4624</v>
      </c>
      <c r="O422" s="61" t="s">
        <v>124</v>
      </c>
    </row>
    <row r="423" spans="1:15" x14ac:dyDescent="0.25">
      <c r="A423" s="223" t="s">
        <v>432</v>
      </c>
      <c r="B423" s="224" t="s">
        <v>18</v>
      </c>
      <c r="C423" s="224" t="s">
        <v>2815</v>
      </c>
      <c r="D423" s="225" t="s">
        <v>433</v>
      </c>
      <c r="E423" s="224" t="s">
        <v>41</v>
      </c>
      <c r="F423" s="224" t="s">
        <v>434</v>
      </c>
      <c r="G423" s="224" t="s">
        <v>177</v>
      </c>
      <c r="H423" s="224" t="s">
        <v>178</v>
      </c>
      <c r="I423" s="224" t="s">
        <v>224</v>
      </c>
      <c r="J423" s="226"/>
      <c r="K423" s="226"/>
      <c r="L423" s="226">
        <v>30000</v>
      </c>
      <c r="M423" s="226">
        <v>30000</v>
      </c>
      <c r="N423" s="224" t="s">
        <v>225</v>
      </c>
      <c r="O423" s="224" t="s">
        <v>125</v>
      </c>
    </row>
    <row r="424" spans="1:15" x14ac:dyDescent="0.25">
      <c r="A424" s="223" t="s">
        <v>432</v>
      </c>
      <c r="B424" s="224" t="s">
        <v>18</v>
      </c>
      <c r="C424" s="224" t="s">
        <v>2815</v>
      </c>
      <c r="D424" s="225" t="s">
        <v>433</v>
      </c>
      <c r="E424" s="224" t="s">
        <v>41</v>
      </c>
      <c r="F424" s="224" t="s">
        <v>434</v>
      </c>
      <c r="G424" s="224" t="s">
        <v>212</v>
      </c>
      <c r="H424" s="224" t="s">
        <v>213</v>
      </c>
      <c r="I424" s="224" t="s">
        <v>224</v>
      </c>
      <c r="J424" s="226"/>
      <c r="K424" s="226"/>
      <c r="L424" s="226">
        <v>30000</v>
      </c>
      <c r="M424" s="226">
        <v>30000</v>
      </c>
      <c r="N424" s="224" t="s">
        <v>225</v>
      </c>
      <c r="O424" s="224" t="s">
        <v>125</v>
      </c>
    </row>
    <row r="425" spans="1:15" x14ac:dyDescent="0.25">
      <c r="A425" s="7" t="s">
        <v>4002</v>
      </c>
      <c r="B425" s="7" t="s">
        <v>18</v>
      </c>
      <c r="C425" s="7" t="s">
        <v>2815</v>
      </c>
      <c r="D425" s="7" t="s">
        <v>3165</v>
      </c>
      <c r="E425" s="7" t="s">
        <v>41</v>
      </c>
      <c r="F425" s="7" t="s">
        <v>4001</v>
      </c>
      <c r="G425" s="7" t="s">
        <v>177</v>
      </c>
      <c r="H425" s="7" t="s">
        <v>178</v>
      </c>
      <c r="I425" s="7" t="s">
        <v>2653</v>
      </c>
      <c r="J425" s="209">
        <v>16000</v>
      </c>
      <c r="K425" s="209">
        <v>4000</v>
      </c>
      <c r="L425" s="209">
        <v>0</v>
      </c>
      <c r="M425" s="209">
        <v>20000</v>
      </c>
      <c r="N425" s="7" t="s">
        <v>4616</v>
      </c>
      <c r="O425" s="7" t="s">
        <v>126</v>
      </c>
    </row>
    <row r="426" spans="1:15" x14ac:dyDescent="0.25">
      <c r="A426" s="7" t="s">
        <v>4002</v>
      </c>
      <c r="B426" s="7" t="s">
        <v>18</v>
      </c>
      <c r="C426" s="7" t="s">
        <v>2815</v>
      </c>
      <c r="D426" s="7" t="s">
        <v>3165</v>
      </c>
      <c r="E426" s="7" t="s">
        <v>41</v>
      </c>
      <c r="F426" s="7" t="s">
        <v>4001</v>
      </c>
      <c r="G426" s="7" t="s">
        <v>2345</v>
      </c>
      <c r="H426" s="199" t="s">
        <v>1208</v>
      </c>
      <c r="I426" s="7" t="s">
        <v>2653</v>
      </c>
      <c r="J426" s="209">
        <v>120000</v>
      </c>
      <c r="K426" s="209">
        <v>30000</v>
      </c>
      <c r="L426" s="209">
        <v>0</v>
      </c>
      <c r="M426" s="209">
        <v>150000</v>
      </c>
      <c r="N426" s="7" t="s">
        <v>4616</v>
      </c>
      <c r="O426" s="7" t="s">
        <v>124</v>
      </c>
    </row>
    <row r="427" spans="1:15" x14ac:dyDescent="0.25">
      <c r="A427" s="223" t="s">
        <v>435</v>
      </c>
      <c r="B427" s="224" t="s">
        <v>18</v>
      </c>
      <c r="C427" s="224" t="s">
        <v>2815</v>
      </c>
      <c r="D427" s="225" t="s">
        <v>436</v>
      </c>
      <c r="E427" s="224" t="s">
        <v>437</v>
      </c>
      <c r="F427" s="224" t="s">
        <v>438</v>
      </c>
      <c r="G427" s="224" t="s">
        <v>117</v>
      </c>
      <c r="H427" s="224" t="s">
        <v>119</v>
      </c>
      <c r="I427" s="224" t="s">
        <v>224</v>
      </c>
      <c r="J427" s="226"/>
      <c r="K427" s="226"/>
      <c r="L427" s="226">
        <v>162000</v>
      </c>
      <c r="M427" s="226">
        <v>162000</v>
      </c>
      <c r="N427" s="224" t="s">
        <v>4625</v>
      </c>
      <c r="O427" s="224" t="s">
        <v>124</v>
      </c>
    </row>
    <row r="428" spans="1:15" x14ac:dyDescent="0.25">
      <c r="A428" s="187" t="s">
        <v>791</v>
      </c>
      <c r="B428" s="61" t="s">
        <v>18</v>
      </c>
      <c r="C428" s="61" t="s">
        <v>2815</v>
      </c>
      <c r="D428" s="199" t="s">
        <v>914</v>
      </c>
      <c r="E428" s="199" t="s">
        <v>1025</v>
      </c>
      <c r="F428" s="199" t="s">
        <v>1135</v>
      </c>
      <c r="G428" s="7" t="s">
        <v>2345</v>
      </c>
      <c r="H428" s="8" t="s">
        <v>78</v>
      </c>
      <c r="I428" s="199" t="s">
        <v>2581</v>
      </c>
      <c r="J428" s="235">
        <v>122531</v>
      </c>
      <c r="K428" s="211">
        <v>30633</v>
      </c>
      <c r="L428" s="211">
        <v>0</v>
      </c>
      <c r="M428" s="235">
        <v>153164</v>
      </c>
      <c r="N428" s="61" t="s">
        <v>225</v>
      </c>
      <c r="O428" s="61" t="s">
        <v>125</v>
      </c>
    </row>
    <row r="429" spans="1:15" x14ac:dyDescent="0.25">
      <c r="A429" s="7" t="s">
        <v>2021</v>
      </c>
      <c r="B429" s="7" t="s">
        <v>18</v>
      </c>
      <c r="C429" s="7" t="s">
        <v>2815</v>
      </c>
      <c r="D429" s="7" t="s">
        <v>2024</v>
      </c>
      <c r="E429" s="7" t="s">
        <v>3302</v>
      </c>
      <c r="F429" s="7" t="s">
        <v>3301</v>
      </c>
      <c r="G429" s="224" t="s">
        <v>212</v>
      </c>
      <c r="H429" s="7" t="s">
        <v>213</v>
      </c>
      <c r="I429" s="7" t="s">
        <v>2284</v>
      </c>
      <c r="J429" s="209">
        <v>48000</v>
      </c>
      <c r="K429" s="209">
        <v>12000</v>
      </c>
      <c r="L429" s="209">
        <v>0</v>
      </c>
      <c r="M429" s="209">
        <v>60000</v>
      </c>
      <c r="N429" s="7" t="s">
        <v>2286</v>
      </c>
      <c r="O429" s="7" t="s">
        <v>124</v>
      </c>
    </row>
    <row r="430" spans="1:15" x14ac:dyDescent="0.25">
      <c r="A430" s="7" t="s">
        <v>2026</v>
      </c>
      <c r="B430" s="7" t="s">
        <v>18</v>
      </c>
      <c r="C430" s="7" t="s">
        <v>2815</v>
      </c>
      <c r="D430" s="7" t="s">
        <v>3165</v>
      </c>
      <c r="E430" s="7" t="s">
        <v>41</v>
      </c>
      <c r="F430" s="7" t="s">
        <v>2028</v>
      </c>
      <c r="G430" s="224" t="s">
        <v>212</v>
      </c>
      <c r="H430" s="7" t="s">
        <v>213</v>
      </c>
      <c r="I430" s="7" t="s">
        <v>2284</v>
      </c>
      <c r="J430" s="209">
        <v>17760</v>
      </c>
      <c r="K430" s="209">
        <v>4440</v>
      </c>
      <c r="L430" s="209">
        <v>40692</v>
      </c>
      <c r="M430" s="209">
        <v>62892</v>
      </c>
      <c r="N430" s="7" t="s">
        <v>2286</v>
      </c>
      <c r="O430" s="7" t="s">
        <v>124</v>
      </c>
    </row>
    <row r="431" spans="1:15" x14ac:dyDescent="0.25">
      <c r="A431" s="7" t="s">
        <v>2030</v>
      </c>
      <c r="B431" s="7" t="s">
        <v>18</v>
      </c>
      <c r="C431" s="7" t="s">
        <v>2815</v>
      </c>
      <c r="D431" s="7" t="s">
        <v>587</v>
      </c>
      <c r="E431" s="7" t="s">
        <v>41</v>
      </c>
      <c r="F431" s="7" t="s">
        <v>2032</v>
      </c>
      <c r="G431" s="224" t="s">
        <v>212</v>
      </c>
      <c r="H431" s="7" t="s">
        <v>213</v>
      </c>
      <c r="I431" s="7" t="s">
        <v>2284</v>
      </c>
      <c r="J431" s="209">
        <v>35988</v>
      </c>
      <c r="K431" s="209">
        <v>8997</v>
      </c>
      <c r="L431" s="209">
        <v>0</v>
      </c>
      <c r="M431" s="209">
        <v>44985</v>
      </c>
      <c r="N431" s="7" t="s">
        <v>4628</v>
      </c>
      <c r="O431" s="7" t="s">
        <v>124</v>
      </c>
    </row>
    <row r="432" spans="1:15" x14ac:dyDescent="0.25">
      <c r="A432" s="7" t="s">
        <v>3434</v>
      </c>
      <c r="B432" s="7" t="s">
        <v>18</v>
      </c>
      <c r="C432" s="7" t="s">
        <v>2815</v>
      </c>
      <c r="D432" s="7" t="s">
        <v>3433</v>
      </c>
      <c r="E432" s="7" t="s">
        <v>3432</v>
      </c>
      <c r="F432" s="7" t="s">
        <v>3431</v>
      </c>
      <c r="G432" s="7" t="s">
        <v>177</v>
      </c>
      <c r="H432" s="7" t="s">
        <v>178</v>
      </c>
      <c r="I432" s="7" t="s">
        <v>1278</v>
      </c>
      <c r="J432" s="209">
        <v>18400</v>
      </c>
      <c r="K432" s="209">
        <v>4600</v>
      </c>
      <c r="L432" s="209">
        <v>0</v>
      </c>
      <c r="M432" s="209">
        <v>23000</v>
      </c>
      <c r="N432" s="7" t="s">
        <v>4616</v>
      </c>
      <c r="O432" s="7" t="s">
        <v>124</v>
      </c>
    </row>
    <row r="433" spans="1:15" x14ac:dyDescent="0.25">
      <c r="A433" s="7" t="s">
        <v>3434</v>
      </c>
      <c r="B433" s="7" t="s">
        <v>18</v>
      </c>
      <c r="C433" s="7" t="s">
        <v>2815</v>
      </c>
      <c r="D433" s="7" t="s">
        <v>3433</v>
      </c>
      <c r="E433" s="7" t="s">
        <v>3432</v>
      </c>
      <c r="F433" s="7" t="s">
        <v>3431</v>
      </c>
      <c r="G433" s="7" t="s">
        <v>2345</v>
      </c>
      <c r="H433" s="7" t="s">
        <v>3430</v>
      </c>
      <c r="I433" s="7" t="s">
        <v>1278</v>
      </c>
      <c r="J433" s="209">
        <v>141600</v>
      </c>
      <c r="K433" s="209">
        <v>43600</v>
      </c>
      <c r="L433" s="209">
        <v>32800</v>
      </c>
      <c r="M433" s="209">
        <v>218000</v>
      </c>
      <c r="N433" s="7" t="s">
        <v>4616</v>
      </c>
      <c r="O433" s="7" t="s">
        <v>124</v>
      </c>
    </row>
    <row r="434" spans="1:15" x14ac:dyDescent="0.25">
      <c r="A434" s="187" t="s">
        <v>819</v>
      </c>
      <c r="B434" s="61" t="s">
        <v>18</v>
      </c>
      <c r="C434" s="61" t="s">
        <v>2815</v>
      </c>
      <c r="D434" s="199" t="s">
        <v>587</v>
      </c>
      <c r="E434" s="199" t="s">
        <v>1047</v>
      </c>
      <c r="F434" s="199" t="s">
        <v>1158</v>
      </c>
      <c r="G434" s="7" t="s">
        <v>2345</v>
      </c>
      <c r="H434" s="8" t="s">
        <v>78</v>
      </c>
      <c r="I434" s="199" t="s">
        <v>2581</v>
      </c>
      <c r="J434" s="235">
        <v>602591</v>
      </c>
      <c r="K434" s="211">
        <v>338957</v>
      </c>
      <c r="L434" s="211">
        <v>0</v>
      </c>
      <c r="M434" s="235">
        <v>941548</v>
      </c>
      <c r="N434" s="61" t="s">
        <v>79</v>
      </c>
      <c r="O434" s="61" t="s">
        <v>124</v>
      </c>
    </row>
    <row r="435" spans="1:15" x14ac:dyDescent="0.25">
      <c r="A435" s="223" t="s">
        <v>439</v>
      </c>
      <c r="B435" s="224" t="s">
        <v>90</v>
      </c>
      <c r="C435" s="224" t="s">
        <v>648</v>
      </c>
      <c r="D435" s="225" t="s">
        <v>41</v>
      </c>
      <c r="E435" s="224" t="s">
        <v>41</v>
      </c>
      <c r="F435" s="224" t="s">
        <v>440</v>
      </c>
      <c r="G435" s="224" t="s">
        <v>212</v>
      </c>
      <c r="H435" s="224" t="s">
        <v>213</v>
      </c>
      <c r="I435" s="224" t="s">
        <v>224</v>
      </c>
      <c r="J435" s="226"/>
      <c r="K435" s="226"/>
      <c r="L435" s="226">
        <v>500000</v>
      </c>
      <c r="M435" s="226">
        <v>500000</v>
      </c>
      <c r="N435" s="224" t="s">
        <v>323</v>
      </c>
      <c r="O435" s="224" t="s">
        <v>124</v>
      </c>
    </row>
    <row r="436" spans="1:15" x14ac:dyDescent="0.25">
      <c r="A436" s="7" t="s">
        <v>439</v>
      </c>
      <c r="B436" s="7" t="s">
        <v>90</v>
      </c>
      <c r="C436" s="7" t="s">
        <v>2815</v>
      </c>
      <c r="D436" s="7" t="s">
        <v>3172</v>
      </c>
      <c r="E436" s="7" t="s">
        <v>4010</v>
      </c>
      <c r="F436" s="7" t="s">
        <v>4009</v>
      </c>
      <c r="G436" s="7" t="s">
        <v>177</v>
      </c>
      <c r="H436" s="7" t="s">
        <v>178</v>
      </c>
      <c r="I436" s="7" t="s">
        <v>3040</v>
      </c>
      <c r="J436" s="209">
        <v>320000</v>
      </c>
      <c r="K436" s="209">
        <v>80000</v>
      </c>
      <c r="L436" s="209">
        <v>0</v>
      </c>
      <c r="M436" s="209">
        <v>400000</v>
      </c>
      <c r="N436" s="7" t="s">
        <v>323</v>
      </c>
      <c r="O436" s="7" t="s">
        <v>124</v>
      </c>
    </row>
    <row r="437" spans="1:15" x14ac:dyDescent="0.25">
      <c r="A437" s="7" t="s">
        <v>439</v>
      </c>
      <c r="B437" s="7" t="s">
        <v>90</v>
      </c>
      <c r="C437" s="7" t="s">
        <v>2815</v>
      </c>
      <c r="D437" s="7" t="s">
        <v>3172</v>
      </c>
      <c r="E437" s="7" t="s">
        <v>4010</v>
      </c>
      <c r="F437" s="7" t="s">
        <v>4009</v>
      </c>
      <c r="G437" s="7" t="s">
        <v>2345</v>
      </c>
      <c r="H437" s="7" t="s">
        <v>4008</v>
      </c>
      <c r="I437" s="7" t="s">
        <v>3040</v>
      </c>
      <c r="J437" s="209">
        <v>2880000</v>
      </c>
      <c r="K437" s="209">
        <v>720000</v>
      </c>
      <c r="L437" s="209">
        <v>0</v>
      </c>
      <c r="M437" s="209">
        <v>3600000</v>
      </c>
      <c r="N437" s="7" t="s">
        <v>323</v>
      </c>
      <c r="O437" s="7" t="s">
        <v>124</v>
      </c>
    </row>
    <row r="438" spans="1:15" x14ac:dyDescent="0.25">
      <c r="A438" s="187" t="s">
        <v>729</v>
      </c>
      <c r="B438" s="61" t="s">
        <v>90</v>
      </c>
      <c r="C438" s="61" t="s">
        <v>2815</v>
      </c>
      <c r="D438" s="199" t="s">
        <v>914</v>
      </c>
      <c r="E438" s="199" t="s">
        <v>977</v>
      </c>
      <c r="F438" s="199" t="s">
        <v>1081</v>
      </c>
      <c r="G438" s="199" t="s">
        <v>177</v>
      </c>
      <c r="H438" s="199" t="s">
        <v>178</v>
      </c>
      <c r="I438" s="199" t="s">
        <v>1275</v>
      </c>
      <c r="J438" s="235">
        <v>3009.69</v>
      </c>
      <c r="K438" s="211">
        <v>0</v>
      </c>
      <c r="L438" s="211">
        <v>0</v>
      </c>
      <c r="M438" s="235">
        <v>3010</v>
      </c>
      <c r="N438" s="61" t="s">
        <v>4625</v>
      </c>
      <c r="O438" s="61" t="s">
        <v>125</v>
      </c>
    </row>
    <row r="439" spans="1:15" ht="15.75" x14ac:dyDescent="0.25">
      <c r="A439" s="224" t="s">
        <v>4699</v>
      </c>
      <c r="B439" s="227" t="s">
        <v>18</v>
      </c>
      <c r="C439" s="224" t="s">
        <v>2815</v>
      </c>
      <c r="D439" s="227" t="s">
        <v>91</v>
      </c>
      <c r="E439" s="227" t="s">
        <v>99</v>
      </c>
      <c r="F439" s="227" t="s">
        <v>110</v>
      </c>
      <c r="G439" s="224" t="s">
        <v>2345</v>
      </c>
      <c r="H439" s="227" t="s">
        <v>122</v>
      </c>
      <c r="I439" s="227" t="s">
        <v>199</v>
      </c>
      <c r="J439" s="224"/>
      <c r="K439" s="224"/>
      <c r="L439" s="233">
        <v>4647</v>
      </c>
      <c r="M439" s="232">
        <v>4647</v>
      </c>
      <c r="N439" s="224" t="s">
        <v>82</v>
      </c>
      <c r="O439" s="224" t="s">
        <v>126</v>
      </c>
    </row>
    <row r="440" spans="1:15" ht="15.75" x14ac:dyDescent="0.25">
      <c r="A440" s="224" t="s">
        <v>4699</v>
      </c>
      <c r="B440" s="227" t="s">
        <v>90</v>
      </c>
      <c r="C440" s="224" t="s">
        <v>2815</v>
      </c>
      <c r="D440" s="227" t="s">
        <v>91</v>
      </c>
      <c r="E440" s="227" t="s">
        <v>99</v>
      </c>
      <c r="F440" s="227" t="s">
        <v>116</v>
      </c>
      <c r="G440" s="224" t="s">
        <v>73</v>
      </c>
      <c r="H440" s="227" t="s">
        <v>122</v>
      </c>
      <c r="I440" s="227" t="s">
        <v>83</v>
      </c>
      <c r="J440" s="224"/>
      <c r="K440" s="224"/>
      <c r="L440" s="233">
        <v>6000</v>
      </c>
      <c r="M440" s="233">
        <v>6000</v>
      </c>
      <c r="N440" s="224" t="s">
        <v>82</v>
      </c>
      <c r="O440" s="224" t="s">
        <v>126</v>
      </c>
    </row>
    <row r="441" spans="1:15" ht="15.75" x14ac:dyDescent="0.25">
      <c r="A441" s="224" t="s">
        <v>4699</v>
      </c>
      <c r="B441" s="227" t="s">
        <v>90</v>
      </c>
      <c r="C441" s="224" t="s">
        <v>2815</v>
      </c>
      <c r="D441" s="227" t="s">
        <v>91</v>
      </c>
      <c r="E441" s="227" t="s">
        <v>41</v>
      </c>
      <c r="F441" s="227" t="s">
        <v>106</v>
      </c>
      <c r="G441" s="224" t="s">
        <v>2345</v>
      </c>
      <c r="H441" s="227" t="s">
        <v>74</v>
      </c>
      <c r="I441" s="227" t="s">
        <v>83</v>
      </c>
      <c r="J441" s="224"/>
      <c r="K441" s="224"/>
      <c r="L441" s="232">
        <v>200000</v>
      </c>
      <c r="M441" s="232">
        <v>200000</v>
      </c>
      <c r="N441" s="224" t="s">
        <v>225</v>
      </c>
      <c r="O441" s="224" t="s">
        <v>125</v>
      </c>
    </row>
    <row r="442" spans="1:15" x14ac:dyDescent="0.25">
      <c r="A442" s="223" t="s">
        <v>4699</v>
      </c>
      <c r="B442" s="224" t="s">
        <v>90</v>
      </c>
      <c r="C442" s="224" t="s">
        <v>2815</v>
      </c>
      <c r="D442" s="225" t="s">
        <v>264</v>
      </c>
      <c r="E442" s="224" t="s">
        <v>265</v>
      </c>
      <c r="F442" s="224" t="s">
        <v>266</v>
      </c>
      <c r="G442" s="224" t="s">
        <v>2345</v>
      </c>
      <c r="H442" s="224" t="s">
        <v>267</v>
      </c>
      <c r="I442" s="224" t="s">
        <v>224</v>
      </c>
      <c r="J442" s="226"/>
      <c r="K442" s="226"/>
      <c r="L442" s="226">
        <v>76543.210000000006</v>
      </c>
      <c r="M442" s="226">
        <v>76543.210000000006</v>
      </c>
      <c r="N442" s="224" t="s">
        <v>225</v>
      </c>
      <c r="O442" s="224" t="s">
        <v>125</v>
      </c>
    </row>
    <row r="443" spans="1:15" x14ac:dyDescent="0.25">
      <c r="A443" s="223" t="s">
        <v>441</v>
      </c>
      <c r="B443" s="224" t="s">
        <v>90</v>
      </c>
      <c r="C443" s="224" t="s">
        <v>2613</v>
      </c>
      <c r="D443" s="225" t="s">
        <v>442</v>
      </c>
      <c r="E443" s="224" t="s">
        <v>443</v>
      </c>
      <c r="F443" s="224" t="s">
        <v>444</v>
      </c>
      <c r="G443" s="224" t="s">
        <v>212</v>
      </c>
      <c r="H443" s="224" t="s">
        <v>213</v>
      </c>
      <c r="I443" s="224" t="s">
        <v>224</v>
      </c>
      <c r="J443" s="226"/>
      <c r="K443" s="226"/>
      <c r="L443" s="226">
        <v>269487</v>
      </c>
      <c r="M443" s="226">
        <v>269487</v>
      </c>
      <c r="N443" s="224" t="s">
        <v>82</v>
      </c>
      <c r="O443" s="224" t="s">
        <v>214</v>
      </c>
    </row>
    <row r="444" spans="1:15" x14ac:dyDescent="0.25">
      <c r="A444" s="223" t="s">
        <v>445</v>
      </c>
      <c r="B444" s="224" t="s">
        <v>90</v>
      </c>
      <c r="C444" s="224" t="s">
        <v>2613</v>
      </c>
      <c r="D444" s="225" t="s">
        <v>446</v>
      </c>
      <c r="E444" s="224" t="s">
        <v>447</v>
      </c>
      <c r="F444" s="224" t="s">
        <v>448</v>
      </c>
      <c r="G444" s="224" t="s">
        <v>73</v>
      </c>
      <c r="H444" s="224" t="s">
        <v>245</v>
      </c>
      <c r="I444" s="224" t="s">
        <v>224</v>
      </c>
      <c r="J444" s="226"/>
      <c r="K444" s="226"/>
      <c r="L444" s="226">
        <v>6824.92</v>
      </c>
      <c r="M444" s="226">
        <v>6824.92</v>
      </c>
      <c r="N444" s="224" t="s">
        <v>82</v>
      </c>
      <c r="O444" s="224" t="s">
        <v>214</v>
      </c>
    </row>
    <row r="445" spans="1:15" x14ac:dyDescent="0.25">
      <c r="A445" s="7" t="s">
        <v>2037</v>
      </c>
      <c r="B445" s="7" t="s">
        <v>18</v>
      </c>
      <c r="C445" s="7" t="s">
        <v>150</v>
      </c>
      <c r="D445" s="7" t="s">
        <v>455</v>
      </c>
      <c r="E445" s="7" t="s">
        <v>1012</v>
      </c>
      <c r="F445" s="7" t="s">
        <v>3503</v>
      </c>
      <c r="G445" s="7" t="s">
        <v>2345</v>
      </c>
      <c r="H445" s="7" t="s">
        <v>1199</v>
      </c>
      <c r="I445" s="7" t="s">
        <v>2284</v>
      </c>
      <c r="J445" s="209">
        <v>4080000</v>
      </c>
      <c r="K445" s="209">
        <v>1020000</v>
      </c>
      <c r="L445" s="209">
        <v>885923</v>
      </c>
      <c r="M445" s="209">
        <v>5985923</v>
      </c>
      <c r="N445" s="7" t="s">
        <v>4620</v>
      </c>
      <c r="O445" s="7" t="s">
        <v>124</v>
      </c>
    </row>
    <row r="446" spans="1:15" ht="16.5" customHeight="1" x14ac:dyDescent="0.25">
      <c r="A446" s="7" t="s">
        <v>2037</v>
      </c>
      <c r="B446" s="7" t="s">
        <v>18</v>
      </c>
      <c r="C446" s="7" t="s">
        <v>150</v>
      </c>
      <c r="D446" s="7" t="s">
        <v>455</v>
      </c>
      <c r="E446" s="7" t="s">
        <v>1012</v>
      </c>
      <c r="F446" s="7" t="s">
        <v>3503</v>
      </c>
      <c r="G446" s="7" t="s">
        <v>177</v>
      </c>
      <c r="H446" s="7" t="s">
        <v>178</v>
      </c>
      <c r="I446" s="7" t="s">
        <v>2581</v>
      </c>
      <c r="J446" s="209">
        <v>672000</v>
      </c>
      <c r="K446" s="209">
        <v>168000</v>
      </c>
      <c r="L446" s="209">
        <v>0</v>
      </c>
      <c r="M446" s="209">
        <v>840000</v>
      </c>
      <c r="N446" s="7" t="s">
        <v>82</v>
      </c>
      <c r="O446" s="7" t="s">
        <v>126</v>
      </c>
    </row>
    <row r="447" spans="1:15" x14ac:dyDescent="0.25">
      <c r="A447" s="7" t="s">
        <v>2037</v>
      </c>
      <c r="B447" s="7" t="s">
        <v>18</v>
      </c>
      <c r="C447" s="7" t="s">
        <v>150</v>
      </c>
      <c r="D447" s="7" t="s">
        <v>455</v>
      </c>
      <c r="E447" s="7" t="s">
        <v>1012</v>
      </c>
      <c r="F447" s="7" t="s">
        <v>3503</v>
      </c>
      <c r="G447" s="7" t="s">
        <v>2345</v>
      </c>
      <c r="H447" s="7" t="s">
        <v>123</v>
      </c>
      <c r="I447" s="7" t="s">
        <v>2581</v>
      </c>
      <c r="J447" s="209">
        <v>3028000</v>
      </c>
      <c r="K447" s="209">
        <v>757000</v>
      </c>
      <c r="L447" s="209">
        <v>529007</v>
      </c>
      <c r="M447" s="209">
        <v>4314007</v>
      </c>
      <c r="N447" s="7" t="s">
        <v>82</v>
      </c>
      <c r="O447" s="7" t="s">
        <v>126</v>
      </c>
    </row>
    <row r="448" spans="1:15" x14ac:dyDescent="0.25">
      <c r="A448" s="187" t="s">
        <v>750</v>
      </c>
      <c r="B448" s="61" t="s">
        <v>90</v>
      </c>
      <c r="C448" s="61" t="s">
        <v>2613</v>
      </c>
      <c r="D448" s="199" t="s">
        <v>459</v>
      </c>
      <c r="E448" s="199" t="s">
        <v>995</v>
      </c>
      <c r="F448" s="199" t="s">
        <v>1102</v>
      </c>
      <c r="G448" s="7" t="s">
        <v>2345</v>
      </c>
      <c r="H448" s="7" t="s">
        <v>3118</v>
      </c>
      <c r="I448" s="199" t="s">
        <v>2284</v>
      </c>
      <c r="J448" s="235">
        <v>6494.76</v>
      </c>
      <c r="K448" s="211">
        <v>5683.24</v>
      </c>
      <c r="L448" s="211">
        <v>0</v>
      </c>
      <c r="M448" s="235">
        <v>12178</v>
      </c>
      <c r="N448" s="61" t="s">
        <v>4616</v>
      </c>
      <c r="O448" s="61" t="s">
        <v>125</v>
      </c>
    </row>
    <row r="449" spans="1:15" x14ac:dyDescent="0.25">
      <c r="A449" s="187" t="s">
        <v>750</v>
      </c>
      <c r="B449" s="61" t="s">
        <v>90</v>
      </c>
      <c r="C449" s="61" t="s">
        <v>2613</v>
      </c>
      <c r="D449" s="199" t="s">
        <v>459</v>
      </c>
      <c r="E449" s="199" t="s">
        <v>995</v>
      </c>
      <c r="F449" s="199" t="s">
        <v>1102</v>
      </c>
      <c r="G449" s="7" t="s">
        <v>2345</v>
      </c>
      <c r="H449" s="7" t="s">
        <v>3118</v>
      </c>
      <c r="I449" s="199" t="s">
        <v>2284</v>
      </c>
      <c r="J449" s="235">
        <v>2278.71</v>
      </c>
      <c r="K449" s="211">
        <v>1996.29</v>
      </c>
      <c r="L449" s="211">
        <v>0</v>
      </c>
      <c r="M449" s="235">
        <v>4275</v>
      </c>
      <c r="N449" s="61" t="s">
        <v>4616</v>
      </c>
      <c r="O449" s="61" t="s">
        <v>125</v>
      </c>
    </row>
    <row r="450" spans="1:15" x14ac:dyDescent="0.25">
      <c r="A450" s="223" t="s">
        <v>449</v>
      </c>
      <c r="B450" s="224" t="s">
        <v>90</v>
      </c>
      <c r="C450" s="224" t="s">
        <v>2613</v>
      </c>
      <c r="D450" s="225" t="s">
        <v>450</v>
      </c>
      <c r="E450" s="224" t="s">
        <v>451</v>
      </c>
      <c r="F450" s="224" t="s">
        <v>452</v>
      </c>
      <c r="G450" s="224" t="s">
        <v>212</v>
      </c>
      <c r="H450" s="224" t="s">
        <v>213</v>
      </c>
      <c r="I450" s="224" t="s">
        <v>224</v>
      </c>
      <c r="J450" s="226"/>
      <c r="K450" s="226"/>
      <c r="L450" s="226">
        <v>7252</v>
      </c>
      <c r="M450" s="226">
        <v>7252</v>
      </c>
      <c r="N450" s="224" t="s">
        <v>4624</v>
      </c>
      <c r="O450" s="224" t="s">
        <v>124</v>
      </c>
    </row>
    <row r="451" spans="1:15" x14ac:dyDescent="0.25">
      <c r="A451" s="187" t="s">
        <v>797</v>
      </c>
      <c r="B451" s="61" t="s">
        <v>18</v>
      </c>
      <c r="C451" s="61" t="s">
        <v>2613</v>
      </c>
      <c r="D451" s="199" t="s">
        <v>462</v>
      </c>
      <c r="E451" s="199" t="s">
        <v>1030</v>
      </c>
      <c r="F451" s="199" t="s">
        <v>1139</v>
      </c>
      <c r="G451" s="7" t="s">
        <v>2345</v>
      </c>
      <c r="H451" s="199" t="s">
        <v>1236</v>
      </c>
      <c r="I451" s="199" t="s">
        <v>2581</v>
      </c>
      <c r="J451" s="235">
        <v>32441.360000000001</v>
      </c>
      <c r="K451" s="211">
        <v>39650.639999999999</v>
      </c>
      <c r="L451" s="211">
        <v>0</v>
      </c>
      <c r="M451" s="235">
        <v>72092</v>
      </c>
      <c r="N451" s="61" t="s">
        <v>4616</v>
      </c>
      <c r="O451" s="61" t="s">
        <v>124</v>
      </c>
    </row>
    <row r="452" spans="1:15" x14ac:dyDescent="0.25">
      <c r="A452" s="187" t="s">
        <v>751</v>
      </c>
      <c r="B452" s="61" t="s">
        <v>90</v>
      </c>
      <c r="C452" s="61" t="s">
        <v>2613</v>
      </c>
      <c r="D452" s="199" t="s">
        <v>931</v>
      </c>
      <c r="E452" s="199" t="s">
        <v>996</v>
      </c>
      <c r="F452" s="199" t="s">
        <v>1103</v>
      </c>
      <c r="G452" s="7" t="s">
        <v>2345</v>
      </c>
      <c r="H452" s="199" t="s">
        <v>1213</v>
      </c>
      <c r="I452" s="199" t="s">
        <v>1277</v>
      </c>
      <c r="J452" s="235">
        <v>67308.14</v>
      </c>
      <c r="K452" s="211">
        <v>16826.86</v>
      </c>
      <c r="L452" s="211">
        <v>0</v>
      </c>
      <c r="M452" s="235">
        <v>84135</v>
      </c>
      <c r="N452" s="61" t="s">
        <v>4625</v>
      </c>
      <c r="O452" s="61" t="s">
        <v>126</v>
      </c>
    </row>
    <row r="453" spans="1:15" x14ac:dyDescent="0.25">
      <c r="A453" s="7" t="s">
        <v>3104</v>
      </c>
      <c r="B453" s="7" t="s">
        <v>18</v>
      </c>
      <c r="C453" s="7" t="s">
        <v>2613</v>
      </c>
      <c r="D453" s="7" t="s">
        <v>3103</v>
      </c>
      <c r="E453" s="7" t="s">
        <v>3102</v>
      </c>
      <c r="F453" s="7" t="s">
        <v>3101</v>
      </c>
      <c r="G453" s="7" t="s">
        <v>2345</v>
      </c>
      <c r="H453" s="7" t="s">
        <v>4736</v>
      </c>
      <c r="I453" s="7" t="s">
        <v>2581</v>
      </c>
      <c r="J453" s="209">
        <v>152000</v>
      </c>
      <c r="K453" s="209">
        <v>38000</v>
      </c>
      <c r="L453" s="209">
        <v>0</v>
      </c>
      <c r="M453" s="209">
        <v>190000</v>
      </c>
      <c r="N453" s="7" t="s">
        <v>4616</v>
      </c>
      <c r="O453" s="7" t="s">
        <v>124</v>
      </c>
    </row>
    <row r="454" spans="1:15" x14ac:dyDescent="0.25">
      <c r="A454" s="223" t="s">
        <v>453</v>
      </c>
      <c r="B454" s="224" t="s">
        <v>90</v>
      </c>
      <c r="C454" s="224" t="s">
        <v>2613</v>
      </c>
      <c r="D454" s="225" t="s">
        <v>287</v>
      </c>
      <c r="E454" s="224" t="s">
        <v>288</v>
      </c>
      <c r="F454" s="224" t="s">
        <v>289</v>
      </c>
      <c r="G454" s="224" t="s">
        <v>73</v>
      </c>
      <c r="H454" s="224" t="s">
        <v>245</v>
      </c>
      <c r="I454" s="224" t="s">
        <v>224</v>
      </c>
      <c r="J454" s="226"/>
      <c r="K454" s="226"/>
      <c r="L454" s="226">
        <v>59992.12</v>
      </c>
      <c r="M454" s="226">
        <v>59992.12</v>
      </c>
      <c r="N454" s="224" t="s">
        <v>387</v>
      </c>
      <c r="O454" s="224" t="s">
        <v>124</v>
      </c>
    </row>
    <row r="455" spans="1:15" x14ac:dyDescent="0.25">
      <c r="A455" s="223" t="s">
        <v>453</v>
      </c>
      <c r="B455" s="224" t="s">
        <v>90</v>
      </c>
      <c r="C455" s="224" t="s">
        <v>2613</v>
      </c>
      <c r="D455" s="225" t="s">
        <v>287</v>
      </c>
      <c r="E455" s="224" t="s">
        <v>288</v>
      </c>
      <c r="F455" s="224" t="s">
        <v>289</v>
      </c>
      <c r="G455" s="224" t="s">
        <v>212</v>
      </c>
      <c r="H455" s="224" t="s">
        <v>213</v>
      </c>
      <c r="I455" s="224" t="s">
        <v>224</v>
      </c>
      <c r="J455" s="226"/>
      <c r="K455" s="226"/>
      <c r="L455" s="226">
        <v>116264</v>
      </c>
      <c r="M455" s="226">
        <v>116264</v>
      </c>
      <c r="N455" s="224" t="s">
        <v>387</v>
      </c>
      <c r="O455" s="224" t="s">
        <v>124</v>
      </c>
    </row>
    <row r="456" spans="1:15" x14ac:dyDescent="0.25">
      <c r="A456" s="187" t="s">
        <v>862</v>
      </c>
      <c r="B456" s="61" t="s">
        <v>18</v>
      </c>
      <c r="C456" s="61" t="s">
        <v>2613</v>
      </c>
      <c r="D456" s="199" t="s">
        <v>967</v>
      </c>
      <c r="E456" s="199" t="s">
        <v>1059</v>
      </c>
      <c r="F456" s="199" t="s">
        <v>1175</v>
      </c>
      <c r="G456" s="7" t="s">
        <v>2345</v>
      </c>
      <c r="H456" s="199" t="s">
        <v>4747</v>
      </c>
      <c r="I456" s="199" t="s">
        <v>1276</v>
      </c>
      <c r="J456" s="235">
        <v>222.25</v>
      </c>
      <c r="K456" s="211">
        <v>55.75</v>
      </c>
      <c r="L456" s="211">
        <v>0</v>
      </c>
      <c r="M456" s="235">
        <v>278</v>
      </c>
      <c r="N456" s="61" t="s">
        <v>4624</v>
      </c>
      <c r="O456" s="61" t="s">
        <v>124</v>
      </c>
    </row>
    <row r="457" spans="1:15" x14ac:dyDescent="0.25">
      <c r="A457" s="187" t="s">
        <v>845</v>
      </c>
      <c r="B457" s="61" t="s">
        <v>90</v>
      </c>
      <c r="C457" s="61" t="s">
        <v>2613</v>
      </c>
      <c r="D457" s="199" t="s">
        <v>3872</v>
      </c>
      <c r="E457" s="199" t="s">
        <v>1065</v>
      </c>
      <c r="F457" s="199" t="s">
        <v>4678</v>
      </c>
      <c r="G457" s="224" t="s">
        <v>212</v>
      </c>
      <c r="H457" s="199" t="s">
        <v>1269</v>
      </c>
      <c r="I457" s="61" t="s">
        <v>867</v>
      </c>
      <c r="J457" s="235">
        <v>769.59</v>
      </c>
      <c r="K457" s="211">
        <v>1154.4099999999999</v>
      </c>
      <c r="L457" s="211">
        <v>0</v>
      </c>
      <c r="M457" s="235">
        <v>1924</v>
      </c>
      <c r="N457" s="61" t="s">
        <v>82</v>
      </c>
      <c r="O457" s="61" t="s">
        <v>126</v>
      </c>
    </row>
    <row r="458" spans="1:15" x14ac:dyDescent="0.25">
      <c r="A458" s="187" t="s">
        <v>770</v>
      </c>
      <c r="B458" s="61" t="s">
        <v>90</v>
      </c>
      <c r="C458" s="61" t="s">
        <v>2613</v>
      </c>
      <c r="D458" s="199" t="s">
        <v>459</v>
      </c>
      <c r="E458" s="199" t="s">
        <v>1009</v>
      </c>
      <c r="F458" s="199" t="s">
        <v>1116</v>
      </c>
      <c r="G458" s="7" t="s">
        <v>2345</v>
      </c>
      <c r="H458" s="7" t="s">
        <v>651</v>
      </c>
      <c r="I458" s="199" t="s">
        <v>1275</v>
      </c>
      <c r="J458" s="235">
        <v>1424.37</v>
      </c>
      <c r="K458" s="211">
        <v>1246.6300000000001</v>
      </c>
      <c r="L458" s="211">
        <v>0</v>
      </c>
      <c r="M458" s="235">
        <v>2671</v>
      </c>
      <c r="N458" s="61" t="s">
        <v>4625</v>
      </c>
      <c r="O458" s="61" t="s">
        <v>125</v>
      </c>
    </row>
    <row r="459" spans="1:15" x14ac:dyDescent="0.25">
      <c r="A459" s="187" t="s">
        <v>828</v>
      </c>
      <c r="B459" s="61" t="s">
        <v>90</v>
      </c>
      <c r="C459" s="61" t="s">
        <v>2613</v>
      </c>
      <c r="D459" s="199" t="s">
        <v>944</v>
      </c>
      <c r="E459" s="199" t="s">
        <v>4637</v>
      </c>
      <c r="F459" s="199" t="s">
        <v>4638</v>
      </c>
      <c r="G459" s="7" t="s">
        <v>2345</v>
      </c>
      <c r="H459" s="7" t="s">
        <v>651</v>
      </c>
      <c r="I459" s="199" t="s">
        <v>1275</v>
      </c>
      <c r="J459" s="235">
        <v>108052.06</v>
      </c>
      <c r="K459" s="211">
        <v>27012.940000000002</v>
      </c>
      <c r="L459" s="211">
        <v>0</v>
      </c>
      <c r="M459" s="235">
        <v>135065</v>
      </c>
      <c r="N459" s="61" t="s">
        <v>4625</v>
      </c>
      <c r="O459" s="61" t="s">
        <v>125</v>
      </c>
    </row>
    <row r="460" spans="1:15" x14ac:dyDescent="0.25">
      <c r="A460" s="187" t="s">
        <v>811</v>
      </c>
      <c r="B460" s="61" t="s">
        <v>90</v>
      </c>
      <c r="C460" s="61" t="s">
        <v>2613</v>
      </c>
      <c r="D460" s="199" t="s">
        <v>956</v>
      </c>
      <c r="E460" s="199" t="s">
        <v>1041</v>
      </c>
      <c r="F460" s="199" t="s">
        <v>1152</v>
      </c>
      <c r="G460" s="7" t="s">
        <v>2345</v>
      </c>
      <c r="H460" s="199" t="s">
        <v>1195</v>
      </c>
      <c r="I460" s="199" t="s">
        <v>1277</v>
      </c>
      <c r="J460" s="235">
        <v>12007</v>
      </c>
      <c r="K460" s="211">
        <v>8005</v>
      </c>
      <c r="L460" s="211">
        <v>0</v>
      </c>
      <c r="M460" s="235">
        <v>20012</v>
      </c>
      <c r="N460" s="61" t="s">
        <v>4625</v>
      </c>
      <c r="O460" s="61" t="s">
        <v>125</v>
      </c>
    </row>
    <row r="461" spans="1:15" ht="15.75" x14ac:dyDescent="0.25">
      <c r="A461" s="187" t="s">
        <v>850</v>
      </c>
      <c r="B461" s="61" t="s">
        <v>18</v>
      </c>
      <c r="C461" s="61" t="s">
        <v>2613</v>
      </c>
      <c r="D461" s="199" t="s">
        <v>2902</v>
      </c>
      <c r="E461" s="199" t="s">
        <v>1069</v>
      </c>
      <c r="F461" s="199" t="s">
        <v>1183</v>
      </c>
      <c r="G461" s="224" t="s">
        <v>212</v>
      </c>
      <c r="H461" s="10" t="s">
        <v>4728</v>
      </c>
      <c r="I461" s="199" t="s">
        <v>2781</v>
      </c>
      <c r="J461" s="235">
        <v>12514</v>
      </c>
      <c r="K461" s="211">
        <v>3129</v>
      </c>
      <c r="L461" s="211">
        <v>0</v>
      </c>
      <c r="M461" s="235">
        <v>15643</v>
      </c>
      <c r="N461" s="61" t="s">
        <v>4616</v>
      </c>
      <c r="O461" s="61" t="s">
        <v>126</v>
      </c>
    </row>
    <row r="462" spans="1:15" x14ac:dyDescent="0.25">
      <c r="A462" s="7" t="s">
        <v>850</v>
      </c>
      <c r="B462" s="7" t="s">
        <v>18</v>
      </c>
      <c r="C462" s="7" t="s">
        <v>2613</v>
      </c>
      <c r="D462" s="7" t="s">
        <v>2902</v>
      </c>
      <c r="E462" s="7" t="s">
        <v>2901</v>
      </c>
      <c r="F462" s="7" t="s">
        <v>2900</v>
      </c>
      <c r="G462" s="7" t="s">
        <v>177</v>
      </c>
      <c r="H462" s="7" t="s">
        <v>178</v>
      </c>
      <c r="I462" s="7" t="s">
        <v>2781</v>
      </c>
      <c r="J462" s="209">
        <v>132170</v>
      </c>
      <c r="K462" s="209">
        <v>33042.6</v>
      </c>
      <c r="L462" s="209">
        <v>0</v>
      </c>
      <c r="M462" s="209">
        <v>165213</v>
      </c>
      <c r="N462" s="7" t="s">
        <v>4616</v>
      </c>
      <c r="O462" s="7" t="s">
        <v>124</v>
      </c>
    </row>
    <row r="463" spans="1:15" x14ac:dyDescent="0.25">
      <c r="A463" s="7" t="s">
        <v>850</v>
      </c>
      <c r="B463" s="7" t="s">
        <v>18</v>
      </c>
      <c r="C463" s="7" t="s">
        <v>2613</v>
      </c>
      <c r="D463" s="7" t="s">
        <v>2902</v>
      </c>
      <c r="E463" s="7" t="s">
        <v>2901</v>
      </c>
      <c r="F463" s="7" t="s">
        <v>2900</v>
      </c>
      <c r="G463" s="7" t="s">
        <v>2345</v>
      </c>
      <c r="H463" s="7" t="s">
        <v>1901</v>
      </c>
      <c r="I463" s="7" t="s">
        <v>2581</v>
      </c>
      <c r="J463" s="209">
        <v>1189716</v>
      </c>
      <c r="K463" s="209">
        <v>298885</v>
      </c>
      <c r="L463" s="209">
        <v>5824</v>
      </c>
      <c r="M463" s="209">
        <v>1494425</v>
      </c>
      <c r="N463" s="7" t="s">
        <v>4616</v>
      </c>
      <c r="O463" s="7" t="s">
        <v>124</v>
      </c>
    </row>
    <row r="464" spans="1:15" x14ac:dyDescent="0.25">
      <c r="A464" s="187" t="s">
        <v>860</v>
      </c>
      <c r="B464" s="61" t="s">
        <v>90</v>
      </c>
      <c r="C464" s="61" t="s">
        <v>2613</v>
      </c>
      <c r="D464" s="199" t="s">
        <v>973</v>
      </c>
      <c r="E464" s="199" t="s">
        <v>1077</v>
      </c>
      <c r="F464" s="199" t="s">
        <v>1189</v>
      </c>
      <c r="G464" s="8" t="s">
        <v>73</v>
      </c>
      <c r="H464" s="199" t="s">
        <v>1195</v>
      </c>
      <c r="I464" s="199" t="s">
        <v>1277</v>
      </c>
      <c r="J464" s="235">
        <v>33928</v>
      </c>
      <c r="K464" s="211">
        <v>8482</v>
      </c>
      <c r="L464" s="211">
        <v>0</v>
      </c>
      <c r="M464" s="235">
        <v>42410</v>
      </c>
      <c r="N464" s="61" t="s">
        <v>4625</v>
      </c>
      <c r="O464" s="61" t="s">
        <v>124</v>
      </c>
    </row>
    <row r="465" spans="1:15" s="192" customFormat="1" x14ac:dyDescent="0.25">
      <c r="A465" s="187" t="s">
        <v>864</v>
      </c>
      <c r="B465" s="61" t="s">
        <v>90</v>
      </c>
      <c r="C465" s="61" t="s">
        <v>2613</v>
      </c>
      <c r="D465" s="199" t="s">
        <v>962</v>
      </c>
      <c r="E465" s="199" t="s">
        <v>447</v>
      </c>
      <c r="F465" s="199" t="s">
        <v>1167</v>
      </c>
      <c r="G465" s="7" t="s">
        <v>2345</v>
      </c>
      <c r="H465" s="7" t="s">
        <v>179</v>
      </c>
      <c r="I465" s="199" t="s">
        <v>1275</v>
      </c>
      <c r="J465" s="235">
        <v>115857</v>
      </c>
      <c r="K465" s="211">
        <v>28964</v>
      </c>
      <c r="L465" s="211">
        <v>0</v>
      </c>
      <c r="M465" s="235">
        <v>144821</v>
      </c>
      <c r="N465" s="61" t="s">
        <v>4625</v>
      </c>
      <c r="O465" s="61" t="s">
        <v>125</v>
      </c>
    </row>
    <row r="466" spans="1:15" x14ac:dyDescent="0.25">
      <c r="A466" s="187" t="s">
        <v>787</v>
      </c>
      <c r="B466" s="61" t="s">
        <v>90</v>
      </c>
      <c r="C466" s="61" t="s">
        <v>2613</v>
      </c>
      <c r="D466" s="199" t="s">
        <v>944</v>
      </c>
      <c r="E466" s="199" t="s">
        <v>1022</v>
      </c>
      <c r="F466" s="199" t="s">
        <v>1103</v>
      </c>
      <c r="G466" s="7" t="s">
        <v>2345</v>
      </c>
      <c r="H466" s="199" t="s">
        <v>1195</v>
      </c>
      <c r="I466" s="199" t="s">
        <v>1277</v>
      </c>
      <c r="J466" s="235">
        <v>14016.78</v>
      </c>
      <c r="K466" s="211">
        <v>3504.2199999999993</v>
      </c>
      <c r="L466" s="211">
        <v>0</v>
      </c>
      <c r="M466" s="235">
        <v>17521</v>
      </c>
      <c r="N466" s="61" t="s">
        <v>4625</v>
      </c>
      <c r="O466" s="61" t="s">
        <v>125</v>
      </c>
    </row>
    <row r="467" spans="1:15" x14ac:dyDescent="0.25">
      <c r="A467" s="7" t="s">
        <v>3731</v>
      </c>
      <c r="B467" s="7" t="s">
        <v>18</v>
      </c>
      <c r="C467" s="7" t="s">
        <v>2613</v>
      </c>
      <c r="D467" s="7" t="s">
        <v>956</v>
      </c>
      <c r="E467" s="7" t="s">
        <v>3730</v>
      </c>
      <c r="F467" s="7" t="s">
        <v>3729</v>
      </c>
      <c r="G467" s="7" t="s">
        <v>2345</v>
      </c>
      <c r="H467" s="7" t="s">
        <v>3733</v>
      </c>
      <c r="I467" s="7" t="s">
        <v>1278</v>
      </c>
      <c r="J467" s="209">
        <v>197382</v>
      </c>
      <c r="K467" s="209">
        <v>0</v>
      </c>
      <c r="L467" s="209">
        <v>0</v>
      </c>
      <c r="M467" s="209">
        <v>197382</v>
      </c>
      <c r="N467" s="7" t="s">
        <v>624</v>
      </c>
      <c r="O467" s="7" t="s">
        <v>124</v>
      </c>
    </row>
    <row r="468" spans="1:15" x14ac:dyDescent="0.25">
      <c r="A468" s="7" t="s">
        <v>3731</v>
      </c>
      <c r="B468" s="7" t="s">
        <v>18</v>
      </c>
      <c r="C468" s="7" t="s">
        <v>2613</v>
      </c>
      <c r="D468" s="7" t="s">
        <v>956</v>
      </c>
      <c r="E468" s="7" t="s">
        <v>3730</v>
      </c>
      <c r="F468" s="7" t="s">
        <v>3729</v>
      </c>
      <c r="G468" s="7" t="s">
        <v>177</v>
      </c>
      <c r="H468" s="7" t="s">
        <v>178</v>
      </c>
      <c r="I468" s="7" t="s">
        <v>1278</v>
      </c>
      <c r="J468" s="209">
        <v>20000</v>
      </c>
      <c r="K468" s="209">
        <v>5000</v>
      </c>
      <c r="L468" s="209">
        <v>79800</v>
      </c>
      <c r="M468" s="209">
        <v>104800</v>
      </c>
      <c r="N468" s="7" t="s">
        <v>624</v>
      </c>
      <c r="O468" s="7" t="s">
        <v>124</v>
      </c>
    </row>
    <row r="469" spans="1:15" x14ac:dyDescent="0.25">
      <c r="A469" s="7" t="s">
        <v>3731</v>
      </c>
      <c r="B469" s="7" t="s">
        <v>18</v>
      </c>
      <c r="C469" s="7" t="s">
        <v>2613</v>
      </c>
      <c r="D469" s="7" t="s">
        <v>956</v>
      </c>
      <c r="E469" s="7" t="s">
        <v>3730</v>
      </c>
      <c r="F469" s="7" t="s">
        <v>3729</v>
      </c>
      <c r="G469" s="7" t="s">
        <v>2345</v>
      </c>
      <c r="H469" s="221" t="s">
        <v>714</v>
      </c>
      <c r="I469" s="7" t="s">
        <v>2581</v>
      </c>
      <c r="J469" s="209">
        <v>586650</v>
      </c>
      <c r="K469" s="209">
        <v>146662.5</v>
      </c>
      <c r="L469" s="209">
        <v>215395.5</v>
      </c>
      <c r="M469" s="209">
        <v>948708</v>
      </c>
      <c r="N469" s="7" t="s">
        <v>624</v>
      </c>
      <c r="O469" s="7" t="s">
        <v>124</v>
      </c>
    </row>
    <row r="470" spans="1:15" x14ac:dyDescent="0.25">
      <c r="A470" s="187" t="s">
        <v>835</v>
      </c>
      <c r="B470" s="61" t="s">
        <v>18</v>
      </c>
      <c r="C470" s="61" t="s">
        <v>2613</v>
      </c>
      <c r="D470" s="199" t="s">
        <v>967</v>
      </c>
      <c r="E470" s="199" t="s">
        <v>1056</v>
      </c>
      <c r="F470" s="199" t="s">
        <v>1173</v>
      </c>
      <c r="G470" s="7" t="s">
        <v>2345</v>
      </c>
      <c r="H470" s="199" t="s">
        <v>1245</v>
      </c>
      <c r="I470" s="199" t="s">
        <v>2581</v>
      </c>
      <c r="J470" s="235">
        <v>7138.11</v>
      </c>
      <c r="K470" s="211">
        <v>7137.89</v>
      </c>
      <c r="L470" s="211">
        <v>0</v>
      </c>
      <c r="M470" s="235">
        <v>14276</v>
      </c>
      <c r="N470" s="61" t="s">
        <v>225</v>
      </c>
      <c r="O470" s="61" t="s">
        <v>125</v>
      </c>
    </row>
    <row r="471" spans="1:15" x14ac:dyDescent="0.25">
      <c r="A471" s="7" t="s">
        <v>852</v>
      </c>
      <c r="B471" s="7" t="s">
        <v>18</v>
      </c>
      <c r="C471" s="7" t="s">
        <v>2613</v>
      </c>
      <c r="D471" s="7" t="s">
        <v>462</v>
      </c>
      <c r="E471" s="7" t="s">
        <v>1071</v>
      </c>
      <c r="F471" s="7" t="s">
        <v>4147</v>
      </c>
      <c r="G471" s="7" t="s">
        <v>2345</v>
      </c>
      <c r="H471" s="7" t="s">
        <v>1195</v>
      </c>
      <c r="I471" s="7" t="s">
        <v>1277</v>
      </c>
      <c r="J471" s="209">
        <v>2000000</v>
      </c>
      <c r="K471" s="209">
        <v>500000</v>
      </c>
      <c r="L471" s="209">
        <v>0</v>
      </c>
      <c r="M471" s="209">
        <v>2500000</v>
      </c>
      <c r="N471" s="7" t="s">
        <v>4625</v>
      </c>
      <c r="O471" s="7" t="s">
        <v>124</v>
      </c>
    </row>
    <row r="472" spans="1:15" x14ac:dyDescent="0.25">
      <c r="A472" s="7" t="s">
        <v>852</v>
      </c>
      <c r="B472" s="7" t="s">
        <v>18</v>
      </c>
      <c r="C472" s="7" t="s">
        <v>2613</v>
      </c>
      <c r="D472" s="7" t="s">
        <v>462</v>
      </c>
      <c r="E472" s="7" t="s">
        <v>1071</v>
      </c>
      <c r="F472" s="7" t="s">
        <v>4147</v>
      </c>
      <c r="G472" s="7" t="s">
        <v>177</v>
      </c>
      <c r="H472" s="7" t="s">
        <v>178</v>
      </c>
      <c r="I472" s="7" t="s">
        <v>1277</v>
      </c>
      <c r="J472" s="209">
        <v>180492</v>
      </c>
      <c r="K472" s="209">
        <v>45123</v>
      </c>
      <c r="L472" s="209">
        <v>0</v>
      </c>
      <c r="M472" s="209">
        <v>225615</v>
      </c>
      <c r="N472" s="7" t="s">
        <v>4625</v>
      </c>
      <c r="O472" s="7" t="s">
        <v>124</v>
      </c>
    </row>
    <row r="473" spans="1:15" x14ac:dyDescent="0.25">
      <c r="A473" s="187" t="s">
        <v>852</v>
      </c>
      <c r="B473" s="61" t="s">
        <v>18</v>
      </c>
      <c r="C473" s="61" t="s">
        <v>2613</v>
      </c>
      <c r="D473" s="199" t="s">
        <v>462</v>
      </c>
      <c r="E473" s="199" t="s">
        <v>1071</v>
      </c>
      <c r="F473" s="199" t="s">
        <v>1184</v>
      </c>
      <c r="G473" s="224" t="s">
        <v>212</v>
      </c>
      <c r="H473" s="199" t="s">
        <v>1195</v>
      </c>
      <c r="I473" s="199" t="s">
        <v>2581</v>
      </c>
      <c r="J473" s="235">
        <v>14029</v>
      </c>
      <c r="K473" s="211">
        <v>3507</v>
      </c>
      <c r="L473" s="211">
        <v>0</v>
      </c>
      <c r="M473" s="235">
        <v>17536</v>
      </c>
      <c r="N473" s="61" t="s">
        <v>4625</v>
      </c>
      <c r="O473" s="61" t="s">
        <v>124</v>
      </c>
    </row>
    <row r="474" spans="1:15" x14ac:dyDescent="0.25">
      <c r="A474" s="223" t="s">
        <v>454</v>
      </c>
      <c r="B474" s="224" t="s">
        <v>90</v>
      </c>
      <c r="C474" s="224" t="s">
        <v>150</v>
      </c>
      <c r="D474" s="225" t="s">
        <v>455</v>
      </c>
      <c r="E474" s="224" t="s">
        <v>456</v>
      </c>
      <c r="F474" s="224" t="s">
        <v>457</v>
      </c>
      <c r="G474" s="224" t="s">
        <v>177</v>
      </c>
      <c r="H474" s="224" t="s">
        <v>178</v>
      </c>
      <c r="I474" s="224" t="s">
        <v>224</v>
      </c>
      <c r="J474" s="226"/>
      <c r="K474" s="226"/>
      <c r="L474" s="226">
        <v>2811156</v>
      </c>
      <c r="M474" s="226">
        <v>2811156</v>
      </c>
      <c r="N474" s="224" t="s">
        <v>387</v>
      </c>
      <c r="O474" s="224" t="s">
        <v>124</v>
      </c>
    </row>
    <row r="475" spans="1:15" x14ac:dyDescent="0.25">
      <c r="A475" s="7" t="s">
        <v>3760</v>
      </c>
      <c r="B475" s="7" t="s">
        <v>18</v>
      </c>
      <c r="C475" s="7" t="s">
        <v>2613</v>
      </c>
      <c r="D475" s="7" t="s">
        <v>973</v>
      </c>
      <c r="E475" s="7" t="s">
        <v>3759</v>
      </c>
      <c r="F475" s="7" t="s">
        <v>3758</v>
      </c>
      <c r="G475" s="224" t="s">
        <v>212</v>
      </c>
      <c r="H475" s="7" t="s">
        <v>213</v>
      </c>
      <c r="I475" s="7" t="s">
        <v>2781</v>
      </c>
      <c r="J475" s="209">
        <v>73973</v>
      </c>
      <c r="K475" s="209">
        <v>18493.25</v>
      </c>
      <c r="L475" s="209">
        <v>1904.75</v>
      </c>
      <c r="M475" s="209">
        <v>94371</v>
      </c>
      <c r="N475" s="7" t="s">
        <v>4616</v>
      </c>
      <c r="O475" s="7" t="s">
        <v>124</v>
      </c>
    </row>
    <row r="476" spans="1:15" x14ac:dyDescent="0.25">
      <c r="A476" s="7" t="s">
        <v>2053</v>
      </c>
      <c r="B476" s="7" t="s">
        <v>18</v>
      </c>
      <c r="C476" s="7" t="s">
        <v>2613</v>
      </c>
      <c r="D476" s="7" t="s">
        <v>287</v>
      </c>
      <c r="E476" s="7" t="s">
        <v>3250</v>
      </c>
      <c r="F476" s="7" t="s">
        <v>3249</v>
      </c>
      <c r="G476" s="7" t="s">
        <v>2345</v>
      </c>
      <c r="H476" s="7" t="s">
        <v>74</v>
      </c>
      <c r="I476" s="7" t="s">
        <v>2581</v>
      </c>
      <c r="J476" s="209">
        <v>519932</v>
      </c>
      <c r="K476" s="209">
        <v>138648.6</v>
      </c>
      <c r="L476" s="209">
        <v>34662.400000000023</v>
      </c>
      <c r="M476" s="209">
        <v>693243</v>
      </c>
      <c r="N476" s="7" t="s">
        <v>225</v>
      </c>
      <c r="O476" s="7" t="s">
        <v>125</v>
      </c>
    </row>
    <row r="477" spans="1:15" x14ac:dyDescent="0.25">
      <c r="A477" s="7" t="s">
        <v>2053</v>
      </c>
      <c r="B477" s="7" t="s">
        <v>18</v>
      </c>
      <c r="C477" s="7" t="s">
        <v>2613</v>
      </c>
      <c r="D477" s="7" t="s">
        <v>287</v>
      </c>
      <c r="E477" s="7" t="s">
        <v>3250</v>
      </c>
      <c r="F477" s="7" t="s">
        <v>3249</v>
      </c>
      <c r="G477" s="7" t="s">
        <v>2345</v>
      </c>
      <c r="H477" s="7" t="s">
        <v>1901</v>
      </c>
      <c r="I477" s="7" t="s">
        <v>2284</v>
      </c>
      <c r="J477" s="209">
        <v>701600</v>
      </c>
      <c r="K477" s="209">
        <v>175400</v>
      </c>
      <c r="L477" s="209">
        <v>0</v>
      </c>
      <c r="M477" s="209">
        <v>877000</v>
      </c>
      <c r="N477" s="7" t="s">
        <v>4616</v>
      </c>
      <c r="O477" s="7" t="s">
        <v>126</v>
      </c>
    </row>
    <row r="478" spans="1:15" x14ac:dyDescent="0.25">
      <c r="A478" s="7" t="s">
        <v>2053</v>
      </c>
      <c r="B478" s="7" t="s">
        <v>18</v>
      </c>
      <c r="C478" s="7" t="s">
        <v>2613</v>
      </c>
      <c r="D478" s="7" t="s">
        <v>287</v>
      </c>
      <c r="E478" s="7" t="s">
        <v>3250</v>
      </c>
      <c r="F478" s="7" t="s">
        <v>3249</v>
      </c>
      <c r="G478" s="7" t="s">
        <v>177</v>
      </c>
      <c r="H478" s="7" t="s">
        <v>178</v>
      </c>
      <c r="I478" s="7" t="s">
        <v>2284</v>
      </c>
      <c r="J478" s="209">
        <v>88000</v>
      </c>
      <c r="K478" s="209">
        <v>30400</v>
      </c>
      <c r="L478" s="209">
        <v>33600</v>
      </c>
      <c r="M478" s="209">
        <v>152000</v>
      </c>
      <c r="N478" s="7" t="s">
        <v>4616</v>
      </c>
      <c r="O478" s="7" t="s">
        <v>126</v>
      </c>
    </row>
    <row r="479" spans="1:15" x14ac:dyDescent="0.25">
      <c r="A479" s="7" t="s">
        <v>4188</v>
      </c>
      <c r="B479" s="7" t="s">
        <v>18</v>
      </c>
      <c r="C479" s="7" t="s">
        <v>2613</v>
      </c>
      <c r="D479" s="7" t="s">
        <v>4187</v>
      </c>
      <c r="E479" s="7" t="s">
        <v>4186</v>
      </c>
      <c r="F479" s="7" t="s">
        <v>4185</v>
      </c>
      <c r="G479" s="7" t="s">
        <v>2345</v>
      </c>
      <c r="H479" s="7" t="s">
        <v>74</v>
      </c>
      <c r="I479" s="7" t="s">
        <v>2581</v>
      </c>
      <c r="J479" s="209">
        <v>212250</v>
      </c>
      <c r="K479" s="209">
        <v>70750</v>
      </c>
      <c r="L479" s="209">
        <v>0</v>
      </c>
      <c r="M479" s="209">
        <v>283000</v>
      </c>
      <c r="N479" s="7" t="s">
        <v>225</v>
      </c>
      <c r="O479" s="7" t="s">
        <v>125</v>
      </c>
    </row>
    <row r="480" spans="1:15" x14ac:dyDescent="0.25">
      <c r="A480" s="7" t="s">
        <v>3235</v>
      </c>
      <c r="B480" s="7" t="s">
        <v>18</v>
      </c>
      <c r="C480" s="7" t="s">
        <v>2613</v>
      </c>
      <c r="D480" s="7" t="s">
        <v>3234</v>
      </c>
      <c r="E480" s="7" t="s">
        <v>3233</v>
      </c>
      <c r="F480" s="7" t="s">
        <v>3232</v>
      </c>
      <c r="G480" s="7" t="s">
        <v>2345</v>
      </c>
      <c r="H480" s="7" t="s">
        <v>74</v>
      </c>
      <c r="I480" s="7" t="s">
        <v>2581</v>
      </c>
      <c r="J480" s="209">
        <v>491286</v>
      </c>
      <c r="K480" s="209">
        <v>163762</v>
      </c>
      <c r="L480" s="209">
        <v>0</v>
      </c>
      <c r="M480" s="209">
        <v>655048</v>
      </c>
      <c r="N480" s="7" t="s">
        <v>225</v>
      </c>
      <c r="O480" s="7" t="s">
        <v>125</v>
      </c>
    </row>
    <row r="481" spans="1:15" x14ac:dyDescent="0.25">
      <c r="A481" s="7" t="s">
        <v>3775</v>
      </c>
      <c r="B481" s="7" t="s">
        <v>18</v>
      </c>
      <c r="C481" s="7" t="s">
        <v>2613</v>
      </c>
      <c r="D481" s="7" t="s">
        <v>3774</v>
      </c>
      <c r="E481" s="7" t="s">
        <v>3773</v>
      </c>
      <c r="F481" s="7" t="s">
        <v>3772</v>
      </c>
      <c r="G481" s="7" t="s">
        <v>2345</v>
      </c>
      <c r="H481" s="7" t="s">
        <v>74</v>
      </c>
      <c r="I481" s="7" t="s">
        <v>2581</v>
      </c>
      <c r="J481" s="209">
        <v>148143</v>
      </c>
      <c r="K481" s="209">
        <v>49381.25</v>
      </c>
      <c r="L481" s="209">
        <v>0</v>
      </c>
      <c r="M481" s="209">
        <v>197525</v>
      </c>
      <c r="N481" s="7" t="s">
        <v>225</v>
      </c>
      <c r="O481" s="7" t="s">
        <v>125</v>
      </c>
    </row>
    <row r="482" spans="1:15" x14ac:dyDescent="0.25">
      <c r="A482" s="223" t="s">
        <v>458</v>
      </c>
      <c r="B482" s="224" t="s">
        <v>90</v>
      </c>
      <c r="C482" s="224" t="s">
        <v>2613</v>
      </c>
      <c r="D482" s="225" t="s">
        <v>459</v>
      </c>
      <c r="E482" s="224" t="s">
        <v>451</v>
      </c>
      <c r="F482" s="224" t="s">
        <v>460</v>
      </c>
      <c r="G482" s="224" t="s">
        <v>73</v>
      </c>
      <c r="H482" s="224" t="s">
        <v>245</v>
      </c>
      <c r="I482" s="224" t="s">
        <v>224</v>
      </c>
      <c r="J482" s="226"/>
      <c r="K482" s="226"/>
      <c r="L482" s="226">
        <v>586282.25</v>
      </c>
      <c r="M482" s="226">
        <v>586282.25</v>
      </c>
      <c r="N482" s="224" t="s">
        <v>4624</v>
      </c>
      <c r="O482" s="224" t="s">
        <v>124</v>
      </c>
    </row>
    <row r="483" spans="1:15" x14ac:dyDescent="0.25">
      <c r="A483" s="7" t="s">
        <v>2059</v>
      </c>
      <c r="B483" s="7" t="s">
        <v>18</v>
      </c>
      <c r="C483" s="7" t="s">
        <v>2613</v>
      </c>
      <c r="D483" s="7" t="s">
        <v>944</v>
      </c>
      <c r="E483" s="7" t="s">
        <v>4228</v>
      </c>
      <c r="F483" s="7" t="s">
        <v>4227</v>
      </c>
      <c r="G483" s="8" t="s">
        <v>73</v>
      </c>
      <c r="H483" s="7" t="s">
        <v>245</v>
      </c>
      <c r="I483" s="7" t="s">
        <v>2284</v>
      </c>
      <c r="J483" s="209">
        <v>86400</v>
      </c>
      <c r="K483" s="209">
        <v>30000</v>
      </c>
      <c r="L483" s="209">
        <v>33600</v>
      </c>
      <c r="M483" s="209">
        <v>150000</v>
      </c>
      <c r="N483" s="7" t="s">
        <v>4624</v>
      </c>
      <c r="O483" s="7" t="s">
        <v>124</v>
      </c>
    </row>
    <row r="484" spans="1:15" x14ac:dyDescent="0.25">
      <c r="A484" s="187" t="s">
        <v>863</v>
      </c>
      <c r="B484" s="61" t="s">
        <v>90</v>
      </c>
      <c r="C484" s="61" t="s">
        <v>2613</v>
      </c>
      <c r="D484" s="199" t="s">
        <v>963</v>
      </c>
      <c r="E484" s="199" t="s">
        <v>1023</v>
      </c>
      <c r="F484" s="199" t="s">
        <v>1168</v>
      </c>
      <c r="G484" s="7" t="s">
        <v>2345</v>
      </c>
      <c r="H484" s="199" t="s">
        <v>4718</v>
      </c>
      <c r="I484" s="199" t="s">
        <v>2284</v>
      </c>
      <c r="J484" s="235">
        <v>203043</v>
      </c>
      <c r="K484" s="211">
        <v>304565</v>
      </c>
      <c r="L484" s="211">
        <v>0</v>
      </c>
      <c r="M484" s="235">
        <v>507608</v>
      </c>
      <c r="N484" s="61" t="s">
        <v>4624</v>
      </c>
      <c r="O484" s="61" t="s">
        <v>124</v>
      </c>
    </row>
    <row r="485" spans="1:15" x14ac:dyDescent="0.25">
      <c r="A485" s="7" t="s">
        <v>4437</v>
      </c>
      <c r="B485" s="7" t="s">
        <v>90</v>
      </c>
      <c r="C485" s="7" t="s">
        <v>2613</v>
      </c>
      <c r="D485" s="7" t="s">
        <v>967</v>
      </c>
      <c r="E485" s="7" t="s">
        <v>4436</v>
      </c>
      <c r="F485" s="7" t="s">
        <v>4435</v>
      </c>
      <c r="G485" s="8" t="s">
        <v>73</v>
      </c>
      <c r="H485" s="7" t="s">
        <v>245</v>
      </c>
      <c r="I485" s="7" t="s">
        <v>1276</v>
      </c>
      <c r="J485" s="209">
        <v>130500</v>
      </c>
      <c r="K485" s="209">
        <v>14500</v>
      </c>
      <c r="L485" s="209">
        <v>0</v>
      </c>
      <c r="M485" s="209">
        <v>145000</v>
      </c>
      <c r="N485" s="7" t="s">
        <v>4624</v>
      </c>
      <c r="O485" s="7" t="s">
        <v>124</v>
      </c>
    </row>
    <row r="486" spans="1:15" x14ac:dyDescent="0.25">
      <c r="A486" s="187" t="s">
        <v>833</v>
      </c>
      <c r="B486" s="61" t="s">
        <v>90</v>
      </c>
      <c r="C486" s="61" t="s">
        <v>2613</v>
      </c>
      <c r="D486" s="199" t="s">
        <v>944</v>
      </c>
      <c r="E486" s="199" t="s">
        <v>1054</v>
      </c>
      <c r="F486" s="199" t="s">
        <v>41</v>
      </c>
      <c r="G486" s="7" t="s">
        <v>2345</v>
      </c>
      <c r="H486" s="7" t="s">
        <v>1199</v>
      </c>
      <c r="I486" s="199" t="s">
        <v>1276</v>
      </c>
      <c r="J486" s="235">
        <v>4625</v>
      </c>
      <c r="K486" s="211">
        <v>514</v>
      </c>
      <c r="L486" s="211">
        <v>0</v>
      </c>
      <c r="M486" s="235">
        <v>5139</v>
      </c>
      <c r="N486" s="61" t="s">
        <v>4620</v>
      </c>
      <c r="O486" s="61" t="s">
        <v>124</v>
      </c>
    </row>
    <row r="487" spans="1:15" x14ac:dyDescent="0.25">
      <c r="A487" s="7" t="s">
        <v>3227</v>
      </c>
      <c r="B487" s="7" t="s">
        <v>18</v>
      </c>
      <c r="C487" s="7" t="s">
        <v>2613</v>
      </c>
      <c r="D487" s="7" t="s">
        <v>3103</v>
      </c>
      <c r="E487" s="7" t="s">
        <v>3102</v>
      </c>
      <c r="F487" s="7" t="s">
        <v>3226</v>
      </c>
      <c r="G487" s="7" t="s">
        <v>2345</v>
      </c>
      <c r="H487" s="7" t="s">
        <v>74</v>
      </c>
      <c r="I487" s="7" t="s">
        <v>2581</v>
      </c>
      <c r="J487" s="209">
        <v>558315</v>
      </c>
      <c r="K487" s="209">
        <v>186105</v>
      </c>
      <c r="L487" s="209">
        <v>0</v>
      </c>
      <c r="M487" s="209">
        <v>744420</v>
      </c>
      <c r="N487" s="7" t="s">
        <v>225</v>
      </c>
      <c r="O487" s="7" t="s">
        <v>125</v>
      </c>
    </row>
    <row r="488" spans="1:15" x14ac:dyDescent="0.25">
      <c r="A488" s="187" t="s">
        <v>818</v>
      </c>
      <c r="B488" s="61" t="s">
        <v>90</v>
      </c>
      <c r="C488" s="61" t="s">
        <v>2613</v>
      </c>
      <c r="D488" s="199" t="s">
        <v>446</v>
      </c>
      <c r="E488" s="199" t="s">
        <v>1046</v>
      </c>
      <c r="F488" s="199" t="s">
        <v>1157</v>
      </c>
      <c r="G488" s="7" t="s">
        <v>2345</v>
      </c>
      <c r="H488" s="199" t="s">
        <v>4749</v>
      </c>
      <c r="I488" s="199" t="s">
        <v>1276</v>
      </c>
      <c r="J488" s="235">
        <v>28257.77</v>
      </c>
      <c r="K488" s="211">
        <v>3140.2299999999996</v>
      </c>
      <c r="L488" s="211">
        <v>0</v>
      </c>
      <c r="M488" s="235">
        <v>31398</v>
      </c>
      <c r="N488" s="61" t="s">
        <v>4623</v>
      </c>
      <c r="O488" s="61" t="s">
        <v>124</v>
      </c>
    </row>
    <row r="489" spans="1:15" x14ac:dyDescent="0.25">
      <c r="A489" s="187" t="s">
        <v>843</v>
      </c>
      <c r="B489" s="61" t="s">
        <v>18</v>
      </c>
      <c r="C489" s="61" t="s">
        <v>2613</v>
      </c>
      <c r="D489" s="199" t="s">
        <v>973</v>
      </c>
      <c r="E489" s="199" t="s">
        <v>1064</v>
      </c>
      <c r="F489" s="199" t="s">
        <v>1180</v>
      </c>
      <c r="G489" s="224" t="s">
        <v>212</v>
      </c>
      <c r="H489" s="199" t="s">
        <v>1195</v>
      </c>
      <c r="I489" s="199" t="s">
        <v>2581</v>
      </c>
      <c r="J489" s="235">
        <v>19989</v>
      </c>
      <c r="K489" s="211">
        <v>29984</v>
      </c>
      <c r="L489" s="211">
        <v>0</v>
      </c>
      <c r="M489" s="235">
        <v>49973</v>
      </c>
      <c r="N489" s="61" t="s">
        <v>4625</v>
      </c>
      <c r="O489" s="61" t="s">
        <v>124</v>
      </c>
    </row>
    <row r="490" spans="1:15" x14ac:dyDescent="0.25">
      <c r="A490" s="7" t="s">
        <v>461</v>
      </c>
      <c r="B490" s="7" t="s">
        <v>18</v>
      </c>
      <c r="C490" s="7" t="s">
        <v>2613</v>
      </c>
      <c r="D490" s="7" t="s">
        <v>462</v>
      </c>
      <c r="E490" s="7" t="s">
        <v>3270</v>
      </c>
      <c r="F490" s="7" t="s">
        <v>3269</v>
      </c>
      <c r="G490" s="7" t="s">
        <v>2345</v>
      </c>
      <c r="H490" s="7" t="s">
        <v>4744</v>
      </c>
      <c r="I490" s="7" t="s">
        <v>2581</v>
      </c>
      <c r="J490" s="209">
        <v>1253092</v>
      </c>
      <c r="K490" s="209">
        <v>404820.2</v>
      </c>
      <c r="L490" s="209">
        <v>366188.80000000005</v>
      </c>
      <c r="M490" s="209">
        <v>2024101</v>
      </c>
      <c r="N490" s="7" t="s">
        <v>79</v>
      </c>
      <c r="O490" s="7" t="s">
        <v>125</v>
      </c>
    </row>
    <row r="491" spans="1:15" x14ac:dyDescent="0.25">
      <c r="A491" s="223" t="s">
        <v>461</v>
      </c>
      <c r="B491" s="224" t="s">
        <v>18</v>
      </c>
      <c r="C491" s="224" t="s">
        <v>2613</v>
      </c>
      <c r="D491" s="225" t="s">
        <v>462</v>
      </c>
      <c r="E491" s="224" t="s">
        <v>463</v>
      </c>
      <c r="F491" s="224" t="s">
        <v>464</v>
      </c>
      <c r="G491" s="224" t="s">
        <v>177</v>
      </c>
      <c r="H491" s="224" t="s">
        <v>178</v>
      </c>
      <c r="I491" s="224" t="s">
        <v>224</v>
      </c>
      <c r="J491" s="226"/>
      <c r="K491" s="226"/>
      <c r="L491" s="226">
        <v>120400</v>
      </c>
      <c r="M491" s="226">
        <v>120400</v>
      </c>
      <c r="N491" s="224" t="s">
        <v>79</v>
      </c>
      <c r="O491" s="224" t="s">
        <v>124</v>
      </c>
    </row>
    <row r="492" spans="1:15" x14ac:dyDescent="0.25">
      <c r="A492" s="223" t="s">
        <v>461</v>
      </c>
      <c r="B492" s="224" t="s">
        <v>18</v>
      </c>
      <c r="C492" s="224" t="s">
        <v>2613</v>
      </c>
      <c r="D492" s="225" t="s">
        <v>462</v>
      </c>
      <c r="E492" s="224" t="s">
        <v>463</v>
      </c>
      <c r="F492" s="224" t="s">
        <v>465</v>
      </c>
      <c r="G492" s="224" t="s">
        <v>73</v>
      </c>
      <c r="H492" s="224" t="s">
        <v>245</v>
      </c>
      <c r="I492" s="224" t="s">
        <v>224</v>
      </c>
      <c r="J492" s="226"/>
      <c r="K492" s="226"/>
      <c r="L492" s="226">
        <v>98000</v>
      </c>
      <c r="M492" s="226">
        <v>98000</v>
      </c>
      <c r="N492" s="224" t="s">
        <v>79</v>
      </c>
      <c r="O492" s="224" t="s">
        <v>124</v>
      </c>
    </row>
    <row r="493" spans="1:15" x14ac:dyDescent="0.25">
      <c r="A493" s="7" t="s">
        <v>3767</v>
      </c>
      <c r="B493" s="7" t="s">
        <v>18</v>
      </c>
      <c r="C493" s="7" t="s">
        <v>2613</v>
      </c>
      <c r="D493" s="7" t="s">
        <v>2612</v>
      </c>
      <c r="E493" s="7" t="s">
        <v>3766</v>
      </c>
      <c r="F493" s="7" t="s">
        <v>3765</v>
      </c>
      <c r="G493" s="7" t="s">
        <v>2345</v>
      </c>
      <c r="H493" s="7" t="s">
        <v>74</v>
      </c>
      <c r="I493" s="7" t="s">
        <v>2581</v>
      </c>
      <c r="J493" s="209">
        <v>619867</v>
      </c>
      <c r="K493" s="209">
        <v>206622.25</v>
      </c>
      <c r="L493" s="209">
        <v>0</v>
      </c>
      <c r="M493" s="209">
        <v>826489</v>
      </c>
      <c r="N493" s="7" t="s">
        <v>225</v>
      </c>
      <c r="O493" s="7" t="s">
        <v>125</v>
      </c>
    </row>
    <row r="494" spans="1:15" x14ac:dyDescent="0.25">
      <c r="A494" s="7" t="s">
        <v>2080</v>
      </c>
      <c r="B494" s="7" t="s">
        <v>18</v>
      </c>
      <c r="C494" s="7" t="s">
        <v>2613</v>
      </c>
      <c r="D494" s="7" t="s">
        <v>967</v>
      </c>
      <c r="E494" s="7" t="s">
        <v>35</v>
      </c>
      <c r="F494" s="7" t="s">
        <v>2807</v>
      </c>
      <c r="G494" s="7" t="s">
        <v>177</v>
      </c>
      <c r="H494" s="7" t="s">
        <v>178</v>
      </c>
      <c r="I494" s="7" t="s">
        <v>2284</v>
      </c>
      <c r="J494" s="209">
        <v>102000</v>
      </c>
      <c r="K494" s="209">
        <v>25500</v>
      </c>
      <c r="L494" s="209">
        <v>0</v>
      </c>
      <c r="M494" s="209">
        <v>127500</v>
      </c>
      <c r="N494" s="7" t="s">
        <v>4620</v>
      </c>
      <c r="O494" s="7" t="s">
        <v>124</v>
      </c>
    </row>
    <row r="495" spans="1:15" x14ac:dyDescent="0.25">
      <c r="A495" s="7" t="s">
        <v>2080</v>
      </c>
      <c r="B495" s="7" t="s">
        <v>18</v>
      </c>
      <c r="C495" s="7" t="s">
        <v>2613</v>
      </c>
      <c r="D495" s="7" t="s">
        <v>967</v>
      </c>
      <c r="E495" s="7" t="s">
        <v>35</v>
      </c>
      <c r="F495" s="7" t="s">
        <v>2807</v>
      </c>
      <c r="G495" s="7" t="s">
        <v>2345</v>
      </c>
      <c r="H495" s="7" t="s">
        <v>4719</v>
      </c>
      <c r="I495" s="7" t="s">
        <v>2581</v>
      </c>
      <c r="J495" s="209">
        <v>1120000</v>
      </c>
      <c r="K495" s="209">
        <v>280000</v>
      </c>
      <c r="L495" s="209">
        <v>0</v>
      </c>
      <c r="M495" s="209">
        <v>1400000</v>
      </c>
      <c r="N495" s="7" t="s">
        <v>4620</v>
      </c>
      <c r="O495" s="7" t="s">
        <v>124</v>
      </c>
    </row>
    <row r="496" spans="1:15" x14ac:dyDescent="0.25">
      <c r="A496" s="7" t="s">
        <v>3975</v>
      </c>
      <c r="B496" s="7" t="s">
        <v>18</v>
      </c>
      <c r="C496" s="7" t="s">
        <v>2613</v>
      </c>
      <c r="D496" s="7" t="s">
        <v>459</v>
      </c>
      <c r="E496" s="7" t="s">
        <v>41</v>
      </c>
      <c r="F496" s="7" t="s">
        <v>3974</v>
      </c>
      <c r="G496" s="7" t="s">
        <v>177</v>
      </c>
      <c r="H496" s="7" t="s">
        <v>178</v>
      </c>
      <c r="I496" s="7" t="s">
        <v>2581</v>
      </c>
      <c r="J496" s="209">
        <v>99200</v>
      </c>
      <c r="K496" s="209">
        <v>24800</v>
      </c>
      <c r="L496" s="209">
        <v>0</v>
      </c>
      <c r="M496" s="209">
        <v>124000</v>
      </c>
      <c r="N496" s="7" t="s">
        <v>4616</v>
      </c>
      <c r="O496" s="7" t="s">
        <v>124</v>
      </c>
    </row>
    <row r="497" spans="1:15" x14ac:dyDescent="0.25">
      <c r="A497" s="7" t="s">
        <v>3975</v>
      </c>
      <c r="B497" s="7" t="s">
        <v>18</v>
      </c>
      <c r="C497" s="7" t="s">
        <v>2613</v>
      </c>
      <c r="D497" s="7" t="s">
        <v>459</v>
      </c>
      <c r="E497" s="7" t="s">
        <v>41</v>
      </c>
      <c r="F497" s="7" t="s">
        <v>3974</v>
      </c>
      <c r="G497" s="7" t="s">
        <v>2345</v>
      </c>
      <c r="H497" s="7" t="s">
        <v>3118</v>
      </c>
      <c r="I497" s="7" t="s">
        <v>2581</v>
      </c>
      <c r="J497" s="209">
        <v>851200</v>
      </c>
      <c r="K497" s="209">
        <v>248000</v>
      </c>
      <c r="L497" s="209">
        <v>140800</v>
      </c>
      <c r="M497" s="209">
        <v>1240000</v>
      </c>
      <c r="N497" s="7" t="s">
        <v>4616</v>
      </c>
      <c r="O497" s="7" t="s">
        <v>124</v>
      </c>
    </row>
    <row r="498" spans="1:15" x14ac:dyDescent="0.25">
      <c r="A498" s="7" t="s">
        <v>4346</v>
      </c>
      <c r="B498" s="7" t="s">
        <v>18</v>
      </c>
      <c r="C498" s="7" t="s">
        <v>2613</v>
      </c>
      <c r="D498" s="7" t="s">
        <v>4345</v>
      </c>
      <c r="E498" s="7" t="s">
        <v>1033</v>
      </c>
      <c r="F498" s="7" t="s">
        <v>4344</v>
      </c>
      <c r="G498" s="7" t="s">
        <v>2345</v>
      </c>
      <c r="H498" s="7" t="s">
        <v>681</v>
      </c>
      <c r="I498" s="7" t="s">
        <v>2781</v>
      </c>
      <c r="J498" s="209">
        <v>849800</v>
      </c>
      <c r="K498" s="209">
        <v>212450</v>
      </c>
      <c r="L498" s="209">
        <v>1266551</v>
      </c>
      <c r="M498" s="209">
        <v>2328801</v>
      </c>
      <c r="N498" s="7" t="s">
        <v>4621</v>
      </c>
      <c r="O498" s="7" t="s">
        <v>124</v>
      </c>
    </row>
    <row r="499" spans="1:15" x14ac:dyDescent="0.25">
      <c r="A499" s="187" t="s">
        <v>744</v>
      </c>
      <c r="B499" s="61" t="s">
        <v>90</v>
      </c>
      <c r="C499" s="61" t="s">
        <v>2613</v>
      </c>
      <c r="D499" s="199" t="s">
        <v>926</v>
      </c>
      <c r="E499" s="199" t="s">
        <v>4669</v>
      </c>
      <c r="F499" s="199" t="s">
        <v>1096</v>
      </c>
      <c r="G499" s="7" t="s">
        <v>2345</v>
      </c>
      <c r="H499" s="199" t="s">
        <v>75</v>
      </c>
      <c r="I499" s="199" t="s">
        <v>1276</v>
      </c>
      <c r="J499" s="235">
        <v>213879.36</v>
      </c>
      <c r="K499" s="211">
        <v>102978.64000000001</v>
      </c>
      <c r="L499" s="211">
        <v>0</v>
      </c>
      <c r="M499" s="235">
        <v>316858</v>
      </c>
      <c r="N499" s="61" t="s">
        <v>4624</v>
      </c>
      <c r="O499" s="61" t="s">
        <v>124</v>
      </c>
    </row>
    <row r="500" spans="1:15" x14ac:dyDescent="0.25">
      <c r="A500" s="7" t="s">
        <v>3590</v>
      </c>
      <c r="B500" s="7" t="s">
        <v>18</v>
      </c>
      <c r="C500" s="7" t="s">
        <v>2613</v>
      </c>
      <c r="D500" s="7" t="s">
        <v>2902</v>
      </c>
      <c r="E500" s="7" t="s">
        <v>3499</v>
      </c>
      <c r="F500" s="7" t="s">
        <v>3589</v>
      </c>
      <c r="G500" s="7" t="s">
        <v>2345</v>
      </c>
      <c r="H500" s="7" t="s">
        <v>74</v>
      </c>
      <c r="I500" s="7" t="s">
        <v>2581</v>
      </c>
      <c r="J500" s="209">
        <v>292050</v>
      </c>
      <c r="K500" s="209">
        <v>100043.75</v>
      </c>
      <c r="L500" s="209">
        <v>8081.25</v>
      </c>
      <c r="M500" s="209">
        <v>400175</v>
      </c>
      <c r="N500" s="7" t="s">
        <v>225</v>
      </c>
      <c r="O500" s="7" t="s">
        <v>125</v>
      </c>
    </row>
    <row r="501" spans="1:15" x14ac:dyDescent="0.25">
      <c r="A501" s="7" t="s">
        <v>2645</v>
      </c>
      <c r="B501" s="7" t="s">
        <v>18</v>
      </c>
      <c r="C501" s="7" t="s">
        <v>2613</v>
      </c>
      <c r="D501" s="7" t="s">
        <v>2644</v>
      </c>
      <c r="E501" s="7" t="s">
        <v>155</v>
      </c>
      <c r="F501" s="7" t="s">
        <v>2643</v>
      </c>
      <c r="G501" s="7" t="s">
        <v>2345</v>
      </c>
      <c r="H501" s="7" t="s">
        <v>123</v>
      </c>
      <c r="I501" s="7" t="s">
        <v>867</v>
      </c>
      <c r="J501" s="209">
        <v>800000</v>
      </c>
      <c r="K501" s="209">
        <v>342857.14285714296</v>
      </c>
      <c r="L501" s="209">
        <v>0</v>
      </c>
      <c r="M501" s="209">
        <v>1142857</v>
      </c>
      <c r="N501" s="7" t="s">
        <v>79</v>
      </c>
      <c r="O501" s="7" t="s">
        <v>124</v>
      </c>
    </row>
    <row r="502" spans="1:15" x14ac:dyDescent="0.25">
      <c r="A502" s="7" t="s">
        <v>2645</v>
      </c>
      <c r="B502" s="7" t="s">
        <v>18</v>
      </c>
      <c r="C502" s="7" t="s">
        <v>2613</v>
      </c>
      <c r="D502" s="7" t="s">
        <v>2644</v>
      </c>
      <c r="E502" s="7" t="s">
        <v>155</v>
      </c>
      <c r="F502" s="7" t="s">
        <v>2643</v>
      </c>
      <c r="G502" s="7" t="s">
        <v>2345</v>
      </c>
      <c r="H502" s="7" t="s">
        <v>123</v>
      </c>
      <c r="I502" s="7" t="s">
        <v>2581</v>
      </c>
      <c r="J502" s="209">
        <v>317154</v>
      </c>
      <c r="K502" s="209">
        <v>135923.1428571429</v>
      </c>
      <c r="L502" s="209">
        <v>626287.85714285704</v>
      </c>
      <c r="M502" s="209">
        <v>1079365</v>
      </c>
      <c r="N502" s="7" t="s">
        <v>79</v>
      </c>
      <c r="O502" s="7" t="s">
        <v>124</v>
      </c>
    </row>
    <row r="503" spans="1:15" x14ac:dyDescent="0.25">
      <c r="A503" s="7" t="s">
        <v>3396</v>
      </c>
      <c r="B503" s="7" t="s">
        <v>18</v>
      </c>
      <c r="C503" s="7" t="s">
        <v>2613</v>
      </c>
      <c r="D503" s="7" t="s">
        <v>967</v>
      </c>
      <c r="E503" s="7" t="s">
        <v>3395</v>
      </c>
      <c r="F503" s="7" t="s">
        <v>3394</v>
      </c>
      <c r="G503" s="7" t="s">
        <v>2345</v>
      </c>
      <c r="H503" s="7" t="s">
        <v>74</v>
      </c>
      <c r="I503" s="7" t="s">
        <v>2581</v>
      </c>
      <c r="J503" s="209">
        <v>331102</v>
      </c>
      <c r="K503" s="209">
        <v>88293.8</v>
      </c>
      <c r="L503" s="209">
        <v>22073.200000000012</v>
      </c>
      <c r="M503" s="209">
        <v>441469</v>
      </c>
      <c r="N503" s="7" t="s">
        <v>225</v>
      </c>
      <c r="O503" s="7" t="s">
        <v>125</v>
      </c>
    </row>
    <row r="504" spans="1:15" x14ac:dyDescent="0.25">
      <c r="A504" s="7" t="s">
        <v>3873</v>
      </c>
      <c r="B504" s="7" t="s">
        <v>18</v>
      </c>
      <c r="C504" s="7" t="s">
        <v>2613</v>
      </c>
      <c r="D504" s="7" t="s">
        <v>3872</v>
      </c>
      <c r="E504" s="7" t="s">
        <v>1062</v>
      </c>
      <c r="F504" s="7" t="s">
        <v>3871</v>
      </c>
      <c r="G504" s="7" t="s">
        <v>2345</v>
      </c>
      <c r="H504" s="7" t="s">
        <v>74</v>
      </c>
      <c r="I504" s="7" t="s">
        <v>2581</v>
      </c>
      <c r="J504" s="209">
        <v>420343</v>
      </c>
      <c r="K504" s="209">
        <v>171250</v>
      </c>
      <c r="L504" s="209">
        <v>360000</v>
      </c>
      <c r="M504" s="209">
        <v>849899</v>
      </c>
      <c r="N504" s="7" t="s">
        <v>225</v>
      </c>
      <c r="O504" s="7" t="s">
        <v>125</v>
      </c>
    </row>
    <row r="505" spans="1:15" x14ac:dyDescent="0.25">
      <c r="A505" s="7" t="s">
        <v>2681</v>
      </c>
      <c r="B505" s="7" t="s">
        <v>18</v>
      </c>
      <c r="C505" s="7" t="s">
        <v>2613</v>
      </c>
      <c r="D505" s="7" t="s">
        <v>2680</v>
      </c>
      <c r="E505" s="7" t="s">
        <v>2679</v>
      </c>
      <c r="F505" s="7" t="s">
        <v>2678</v>
      </c>
      <c r="G505" s="7" t="s">
        <v>2345</v>
      </c>
      <c r="H505" s="7" t="s">
        <v>74</v>
      </c>
      <c r="I505" s="7" t="s">
        <v>867</v>
      </c>
      <c r="J505" s="209">
        <v>397000</v>
      </c>
      <c r="K505" s="209">
        <v>324818.10000000003</v>
      </c>
      <c r="L505" s="209">
        <v>0</v>
      </c>
      <c r="M505" s="209">
        <v>721818</v>
      </c>
      <c r="N505" s="7" t="s">
        <v>225</v>
      </c>
      <c r="O505" s="7" t="s">
        <v>125</v>
      </c>
    </row>
    <row r="506" spans="1:15" x14ac:dyDescent="0.25">
      <c r="A506" s="7" t="s">
        <v>2681</v>
      </c>
      <c r="B506" s="7" t="s">
        <v>18</v>
      </c>
      <c r="C506" s="7" t="s">
        <v>2613</v>
      </c>
      <c r="D506" s="7" t="s">
        <v>2680</v>
      </c>
      <c r="E506" s="7" t="s">
        <v>2679</v>
      </c>
      <c r="F506" s="7" t="s">
        <v>2678</v>
      </c>
      <c r="G506" s="7" t="s">
        <v>2345</v>
      </c>
      <c r="H506" s="7" t="s">
        <v>74</v>
      </c>
      <c r="I506" s="7" t="s">
        <v>2581</v>
      </c>
      <c r="J506" s="209">
        <v>164808</v>
      </c>
      <c r="K506" s="209">
        <v>134842.5</v>
      </c>
      <c r="L506" s="209">
        <v>0</v>
      </c>
      <c r="M506" s="209">
        <v>299650</v>
      </c>
      <c r="N506" s="7" t="s">
        <v>225</v>
      </c>
      <c r="O506" s="7" t="s">
        <v>125</v>
      </c>
    </row>
    <row r="507" spans="1:15" x14ac:dyDescent="0.25">
      <c r="A507" s="7" t="s">
        <v>2991</v>
      </c>
      <c r="B507" s="7" t="s">
        <v>90</v>
      </c>
      <c r="C507" s="7" t="s">
        <v>2613</v>
      </c>
      <c r="D507" s="7" t="s">
        <v>2990</v>
      </c>
      <c r="E507" s="7" t="s">
        <v>1046</v>
      </c>
      <c r="F507" s="7" t="s">
        <v>2989</v>
      </c>
      <c r="G507" s="7" t="s">
        <v>177</v>
      </c>
      <c r="H507" s="7" t="s">
        <v>178</v>
      </c>
      <c r="I507" s="7" t="s">
        <v>3040</v>
      </c>
      <c r="J507" s="209">
        <v>20000</v>
      </c>
      <c r="K507" s="209">
        <v>5000</v>
      </c>
      <c r="L507" s="209">
        <v>0</v>
      </c>
      <c r="M507" s="209">
        <v>25000</v>
      </c>
      <c r="N507" s="7" t="s">
        <v>4625</v>
      </c>
      <c r="O507" s="7" t="s">
        <v>124</v>
      </c>
    </row>
    <row r="508" spans="1:15" x14ac:dyDescent="0.25">
      <c r="A508" s="7" t="s">
        <v>2991</v>
      </c>
      <c r="B508" s="7" t="s">
        <v>90</v>
      </c>
      <c r="C508" s="7" t="s">
        <v>2613</v>
      </c>
      <c r="D508" s="7" t="s">
        <v>2990</v>
      </c>
      <c r="E508" s="7" t="s">
        <v>1046</v>
      </c>
      <c r="F508" s="7" t="s">
        <v>2989</v>
      </c>
      <c r="G508" s="7" t="s">
        <v>2345</v>
      </c>
      <c r="H508" s="7" t="s">
        <v>179</v>
      </c>
      <c r="I508" s="7" t="s">
        <v>3040</v>
      </c>
      <c r="J508" s="209">
        <v>180000</v>
      </c>
      <c r="K508" s="209">
        <v>45000</v>
      </c>
      <c r="L508" s="209">
        <v>0</v>
      </c>
      <c r="M508" s="209">
        <v>225000</v>
      </c>
      <c r="N508" s="7" t="s">
        <v>4625</v>
      </c>
      <c r="O508" s="7" t="s">
        <v>124</v>
      </c>
    </row>
    <row r="509" spans="1:15" x14ac:dyDescent="0.25">
      <c r="A509" s="7" t="s">
        <v>3135</v>
      </c>
      <c r="B509" s="7" t="s">
        <v>18</v>
      </c>
      <c r="C509" s="7" t="s">
        <v>2613</v>
      </c>
      <c r="D509" s="7" t="s">
        <v>967</v>
      </c>
      <c r="E509" s="7" t="s">
        <v>1022</v>
      </c>
      <c r="F509" s="7" t="s">
        <v>3134</v>
      </c>
      <c r="G509" s="7" t="s">
        <v>2345</v>
      </c>
      <c r="H509" s="7" t="s">
        <v>75</v>
      </c>
      <c r="I509" s="7" t="s">
        <v>1276</v>
      </c>
      <c r="J509" s="209">
        <v>531187</v>
      </c>
      <c r="K509" s="209">
        <v>59020.800000000003</v>
      </c>
      <c r="L509" s="209">
        <v>0</v>
      </c>
      <c r="M509" s="209">
        <v>590208</v>
      </c>
      <c r="N509" s="7" t="s">
        <v>4624</v>
      </c>
      <c r="O509" s="7" t="s">
        <v>124</v>
      </c>
    </row>
    <row r="510" spans="1:15" x14ac:dyDescent="0.25">
      <c r="A510" s="7" t="s">
        <v>2088</v>
      </c>
      <c r="B510" s="7" t="s">
        <v>18</v>
      </c>
      <c r="C510" s="7" t="s">
        <v>2613</v>
      </c>
      <c r="D510" s="7" t="s">
        <v>450</v>
      </c>
      <c r="E510" s="7" t="s">
        <v>2946</v>
      </c>
      <c r="F510" s="7" t="s">
        <v>2945</v>
      </c>
      <c r="G510" s="7" t="s">
        <v>2345</v>
      </c>
      <c r="H510" s="7" t="s">
        <v>1901</v>
      </c>
      <c r="I510" s="7" t="s">
        <v>2715</v>
      </c>
      <c r="J510" s="209">
        <v>1619782</v>
      </c>
      <c r="K510" s="209">
        <v>404945.5</v>
      </c>
      <c r="L510" s="209">
        <v>0</v>
      </c>
      <c r="M510" s="209">
        <v>2024727</v>
      </c>
      <c r="N510" s="7" t="s">
        <v>4616</v>
      </c>
      <c r="O510" s="7" t="s">
        <v>126</v>
      </c>
    </row>
    <row r="511" spans="1:15" x14ac:dyDescent="0.25">
      <c r="A511" s="7" t="s">
        <v>2088</v>
      </c>
      <c r="B511" s="7" t="s">
        <v>18</v>
      </c>
      <c r="C511" s="7" t="s">
        <v>2613</v>
      </c>
      <c r="D511" s="7" t="s">
        <v>450</v>
      </c>
      <c r="E511" s="7" t="s">
        <v>2946</v>
      </c>
      <c r="F511" s="7" t="s">
        <v>2945</v>
      </c>
      <c r="G511" s="7" t="s">
        <v>177</v>
      </c>
      <c r="H511" s="7" t="s">
        <v>178</v>
      </c>
      <c r="I511" s="7" t="s">
        <v>2715</v>
      </c>
      <c r="J511" s="209">
        <v>182290</v>
      </c>
      <c r="K511" s="209">
        <v>45572.5</v>
      </c>
      <c r="L511" s="209">
        <v>0</v>
      </c>
      <c r="M511" s="209">
        <v>227865</v>
      </c>
      <c r="N511" s="7" t="s">
        <v>4616</v>
      </c>
      <c r="O511" s="7" t="s">
        <v>126</v>
      </c>
    </row>
    <row r="512" spans="1:15" x14ac:dyDescent="0.25">
      <c r="A512" s="7" t="s">
        <v>3382</v>
      </c>
      <c r="B512" s="7" t="s">
        <v>18</v>
      </c>
      <c r="C512" s="7" t="s">
        <v>2613</v>
      </c>
      <c r="D512" s="7" t="s">
        <v>2680</v>
      </c>
      <c r="E512" s="7" t="s">
        <v>3381</v>
      </c>
      <c r="F512" s="7" t="s">
        <v>3380</v>
      </c>
      <c r="G512" s="7" t="s">
        <v>2345</v>
      </c>
      <c r="H512" s="7" t="s">
        <v>74</v>
      </c>
      <c r="I512" s="7" t="s">
        <v>2581</v>
      </c>
      <c r="J512" s="209">
        <v>517499</v>
      </c>
      <c r="K512" s="209">
        <v>137999.80000000002</v>
      </c>
      <c r="L512" s="209">
        <v>34500.199999999953</v>
      </c>
      <c r="M512" s="209">
        <v>689999</v>
      </c>
      <c r="N512" s="7" t="s">
        <v>225</v>
      </c>
      <c r="O512" s="7" t="s">
        <v>125</v>
      </c>
    </row>
    <row r="513" spans="1:15" x14ac:dyDescent="0.25">
      <c r="A513" s="7" t="s">
        <v>3389</v>
      </c>
      <c r="B513" s="7" t="s">
        <v>18</v>
      </c>
      <c r="C513" s="7" t="s">
        <v>2613</v>
      </c>
      <c r="D513" s="7" t="s">
        <v>967</v>
      </c>
      <c r="E513" s="7" t="s">
        <v>3388</v>
      </c>
      <c r="F513" s="7" t="s">
        <v>3387</v>
      </c>
      <c r="G513" s="7" t="s">
        <v>2345</v>
      </c>
      <c r="H513" s="7" t="s">
        <v>74</v>
      </c>
      <c r="I513" s="7" t="s">
        <v>2581</v>
      </c>
      <c r="J513" s="209">
        <v>384970</v>
      </c>
      <c r="K513" s="209">
        <v>102658.6</v>
      </c>
      <c r="L513" s="209">
        <v>25664.400000000023</v>
      </c>
      <c r="M513" s="209">
        <v>513293</v>
      </c>
      <c r="N513" s="7" t="s">
        <v>225</v>
      </c>
      <c r="O513" s="7" t="s">
        <v>125</v>
      </c>
    </row>
    <row r="514" spans="1:15" x14ac:dyDescent="0.25">
      <c r="A514" s="7" t="s">
        <v>4058</v>
      </c>
      <c r="B514" s="7" t="s">
        <v>18</v>
      </c>
      <c r="C514" s="7" t="s">
        <v>2613</v>
      </c>
      <c r="D514" s="7" t="s">
        <v>459</v>
      </c>
      <c r="E514" s="7" t="s">
        <v>4057</v>
      </c>
      <c r="F514" s="7" t="s">
        <v>4056</v>
      </c>
      <c r="G514" s="7" t="s">
        <v>2345</v>
      </c>
      <c r="H514" s="7" t="s">
        <v>74</v>
      </c>
      <c r="I514" s="7" t="s">
        <v>2581</v>
      </c>
      <c r="J514" s="209">
        <v>190500</v>
      </c>
      <c r="K514" s="209">
        <v>69491</v>
      </c>
      <c r="L514" s="209">
        <v>17973</v>
      </c>
      <c r="M514" s="209">
        <v>277964</v>
      </c>
      <c r="N514" s="7" t="s">
        <v>225</v>
      </c>
      <c r="O514" s="7" t="s">
        <v>125</v>
      </c>
    </row>
    <row r="515" spans="1:15" x14ac:dyDescent="0.25">
      <c r="A515" s="7" t="s">
        <v>4058</v>
      </c>
      <c r="B515" s="7" t="s">
        <v>18</v>
      </c>
      <c r="C515" s="7" t="s">
        <v>2613</v>
      </c>
      <c r="D515" s="7" t="s">
        <v>459</v>
      </c>
      <c r="E515" s="7" t="s">
        <v>4057</v>
      </c>
      <c r="F515" s="7" t="s">
        <v>4056</v>
      </c>
      <c r="G515" s="7" t="s">
        <v>177</v>
      </c>
      <c r="H515" s="7" t="s">
        <v>178</v>
      </c>
      <c r="I515" s="7" t="s">
        <v>2581</v>
      </c>
      <c r="J515" s="209">
        <v>30000</v>
      </c>
      <c r="K515" s="209">
        <v>10000</v>
      </c>
      <c r="L515" s="209">
        <v>0</v>
      </c>
      <c r="M515" s="209">
        <v>40000</v>
      </c>
      <c r="N515" s="7" t="s">
        <v>225</v>
      </c>
      <c r="O515" s="7" t="s">
        <v>125</v>
      </c>
    </row>
    <row r="516" spans="1:15" x14ac:dyDescent="0.25">
      <c r="A516" s="7" t="s">
        <v>2614</v>
      </c>
      <c r="B516" s="7" t="s">
        <v>18</v>
      </c>
      <c r="C516" s="7" t="s">
        <v>2613</v>
      </c>
      <c r="D516" s="7" t="s">
        <v>2612</v>
      </c>
      <c r="E516" s="7" t="s">
        <v>2611</v>
      </c>
      <c r="F516" s="7" t="s">
        <v>2610</v>
      </c>
      <c r="G516" s="7" t="s">
        <v>2345</v>
      </c>
      <c r="H516" s="7" t="s">
        <v>74</v>
      </c>
      <c r="I516" s="7" t="s">
        <v>2581</v>
      </c>
      <c r="J516" s="209">
        <v>280482</v>
      </c>
      <c r="K516" s="209">
        <v>74795.199999999997</v>
      </c>
      <c r="L516" s="209">
        <v>18698.799999999988</v>
      </c>
      <c r="M516" s="209">
        <v>373976</v>
      </c>
      <c r="N516" s="7" t="s">
        <v>225</v>
      </c>
      <c r="O516" s="7" t="s">
        <v>125</v>
      </c>
    </row>
    <row r="517" spans="1:15" x14ac:dyDescent="0.25">
      <c r="A517" s="7" t="s">
        <v>3500</v>
      </c>
      <c r="B517" s="7" t="s">
        <v>18</v>
      </c>
      <c r="C517" s="7" t="s">
        <v>2613</v>
      </c>
      <c r="D517" s="7" t="s">
        <v>2902</v>
      </c>
      <c r="E517" s="7" t="s">
        <v>3499</v>
      </c>
      <c r="F517" s="7" t="s">
        <v>3498</v>
      </c>
      <c r="G517" s="7" t="s">
        <v>117</v>
      </c>
      <c r="H517" s="7" t="s">
        <v>119</v>
      </c>
      <c r="I517" s="7" t="s">
        <v>2653</v>
      </c>
      <c r="J517" s="209">
        <v>79784</v>
      </c>
      <c r="K517" s="209">
        <v>19946</v>
      </c>
      <c r="L517" s="209">
        <v>0</v>
      </c>
      <c r="M517" s="209">
        <v>99730</v>
      </c>
      <c r="N517" s="7" t="s">
        <v>4616</v>
      </c>
      <c r="O517" s="7" t="s">
        <v>126</v>
      </c>
    </row>
    <row r="518" spans="1:15" x14ac:dyDescent="0.25">
      <c r="A518" s="7" t="s">
        <v>3493</v>
      </c>
      <c r="B518" s="7" t="s">
        <v>18</v>
      </c>
      <c r="C518" s="7" t="s">
        <v>2613</v>
      </c>
      <c r="D518" s="7" t="s">
        <v>2902</v>
      </c>
      <c r="E518" s="7" t="s">
        <v>3492</v>
      </c>
      <c r="F518" s="7" t="s">
        <v>3491</v>
      </c>
      <c r="G518" s="7" t="s">
        <v>117</v>
      </c>
      <c r="H518" s="7" t="s">
        <v>119</v>
      </c>
      <c r="I518" s="7" t="s">
        <v>2653</v>
      </c>
      <c r="J518" s="209">
        <v>58049</v>
      </c>
      <c r="K518" s="209">
        <v>14512.2</v>
      </c>
      <c r="L518" s="209">
        <v>0</v>
      </c>
      <c r="M518" s="209">
        <v>72561</v>
      </c>
      <c r="N518" s="7" t="s">
        <v>4616</v>
      </c>
      <c r="O518" s="7" t="s">
        <v>126</v>
      </c>
    </row>
    <row r="519" spans="1:15" x14ac:dyDescent="0.25">
      <c r="A519" s="7" t="s">
        <v>4051</v>
      </c>
      <c r="B519" s="7" t="s">
        <v>18</v>
      </c>
      <c r="C519" s="7" t="s">
        <v>2613</v>
      </c>
      <c r="D519" s="7" t="s">
        <v>967</v>
      </c>
      <c r="E519" s="7" t="s">
        <v>35</v>
      </c>
      <c r="F519" s="7" t="s">
        <v>4050</v>
      </c>
      <c r="G519" s="7" t="s">
        <v>2345</v>
      </c>
      <c r="H519" s="8" t="s">
        <v>219</v>
      </c>
      <c r="I519" s="7" t="s">
        <v>83</v>
      </c>
      <c r="J519" s="209">
        <v>0</v>
      </c>
      <c r="K519" s="209">
        <v>0</v>
      </c>
      <c r="L519" s="209">
        <v>25000</v>
      </c>
      <c r="M519" s="209">
        <v>25000</v>
      </c>
      <c r="N519" s="7" t="s">
        <v>4616</v>
      </c>
      <c r="O519" s="7" t="s">
        <v>124</v>
      </c>
    </row>
    <row r="520" spans="1:15" x14ac:dyDescent="0.25">
      <c r="A520" s="7" t="s">
        <v>4051</v>
      </c>
      <c r="B520" s="7" t="s">
        <v>90</v>
      </c>
      <c r="C520" s="7" t="s">
        <v>2613</v>
      </c>
      <c r="D520" s="7" t="s">
        <v>967</v>
      </c>
      <c r="E520" s="7" t="s">
        <v>35</v>
      </c>
      <c r="F520" s="7" t="s">
        <v>4050</v>
      </c>
      <c r="G520" s="7" t="s">
        <v>2345</v>
      </c>
      <c r="H520" s="7" t="s">
        <v>4049</v>
      </c>
      <c r="I520" s="7" t="s">
        <v>1277</v>
      </c>
      <c r="J520" s="209">
        <v>240000</v>
      </c>
      <c r="K520" s="209">
        <v>60000</v>
      </c>
      <c r="L520" s="209">
        <v>0</v>
      </c>
      <c r="M520" s="209">
        <v>300000</v>
      </c>
      <c r="N520" s="7" t="s">
        <v>4616</v>
      </c>
      <c r="O520" s="7" t="s">
        <v>124</v>
      </c>
    </row>
    <row r="521" spans="1:15" x14ac:dyDescent="0.25">
      <c r="A521" s="7" t="s">
        <v>4051</v>
      </c>
      <c r="B521" s="7" t="s">
        <v>18</v>
      </c>
      <c r="C521" s="7" t="s">
        <v>2613</v>
      </c>
      <c r="D521" s="7" t="s">
        <v>967</v>
      </c>
      <c r="E521" s="7" t="s">
        <v>35</v>
      </c>
      <c r="F521" s="7" t="s">
        <v>4050</v>
      </c>
      <c r="G521" s="7" t="s">
        <v>2345</v>
      </c>
      <c r="H521" s="7" t="s">
        <v>4049</v>
      </c>
      <c r="I521" s="7" t="s">
        <v>2581</v>
      </c>
      <c r="J521" s="209">
        <v>1249062</v>
      </c>
      <c r="K521" s="209">
        <v>646055</v>
      </c>
      <c r="L521" s="209">
        <v>34001</v>
      </c>
      <c r="M521" s="209">
        <v>1929118</v>
      </c>
      <c r="N521" s="7" t="s">
        <v>4616</v>
      </c>
      <c r="O521" s="7" t="s">
        <v>126</v>
      </c>
    </row>
    <row r="522" spans="1:15" x14ac:dyDescent="0.25">
      <c r="A522" s="188" t="s">
        <v>4100</v>
      </c>
      <c r="B522" s="61" t="s">
        <v>18</v>
      </c>
      <c r="C522" s="61" t="s">
        <v>2613</v>
      </c>
      <c r="D522" s="61" t="s">
        <v>944</v>
      </c>
      <c r="E522" s="192" t="s">
        <v>3150</v>
      </c>
      <c r="F522" s="192" t="s">
        <v>4099</v>
      </c>
      <c r="G522" s="7" t="s">
        <v>2345</v>
      </c>
      <c r="H522" s="192" t="s">
        <v>1901</v>
      </c>
      <c r="I522" s="192" t="s">
        <v>2581</v>
      </c>
      <c r="J522" s="211">
        <v>905763</v>
      </c>
      <c r="K522" s="211">
        <v>226440.6</v>
      </c>
      <c r="L522" s="209">
        <v>0</v>
      </c>
      <c r="M522" s="211">
        <v>1132203</v>
      </c>
      <c r="N522" s="192" t="s">
        <v>4616</v>
      </c>
      <c r="O522" s="7" t="s">
        <v>124</v>
      </c>
    </row>
    <row r="523" spans="1:15" x14ac:dyDescent="0.25">
      <c r="A523" s="7" t="s">
        <v>4100</v>
      </c>
      <c r="B523" s="7" t="s">
        <v>18</v>
      </c>
      <c r="C523" s="7" t="s">
        <v>2613</v>
      </c>
      <c r="D523" s="7" t="s">
        <v>944</v>
      </c>
      <c r="E523" s="7" t="s">
        <v>3150</v>
      </c>
      <c r="F523" s="7" t="s">
        <v>4099</v>
      </c>
      <c r="G523" s="7" t="s">
        <v>177</v>
      </c>
      <c r="H523" s="7" t="s">
        <v>178</v>
      </c>
      <c r="I523" s="7" t="s">
        <v>2653</v>
      </c>
      <c r="J523" s="209">
        <v>280000</v>
      </c>
      <c r="K523" s="209">
        <v>70000</v>
      </c>
      <c r="L523" s="209">
        <v>0</v>
      </c>
      <c r="M523" s="209">
        <v>350000</v>
      </c>
      <c r="N523" s="7" t="s">
        <v>4616</v>
      </c>
      <c r="O523" s="7" t="s">
        <v>126</v>
      </c>
    </row>
    <row r="524" spans="1:15" x14ac:dyDescent="0.25">
      <c r="A524" s="7" t="s">
        <v>4100</v>
      </c>
      <c r="B524" s="7" t="s">
        <v>18</v>
      </c>
      <c r="C524" s="7" t="s">
        <v>2613</v>
      </c>
      <c r="D524" s="7" t="s">
        <v>944</v>
      </c>
      <c r="E524" s="7" t="s">
        <v>3150</v>
      </c>
      <c r="F524" s="7" t="s">
        <v>4099</v>
      </c>
      <c r="G524" s="7" t="s">
        <v>2345</v>
      </c>
      <c r="H524" s="7" t="s">
        <v>1901</v>
      </c>
      <c r="I524" s="7" t="s">
        <v>2653</v>
      </c>
      <c r="J524" s="209">
        <v>318400</v>
      </c>
      <c r="K524" s="209">
        <v>79600</v>
      </c>
      <c r="L524" s="209">
        <v>0</v>
      </c>
      <c r="M524" s="209">
        <v>398000</v>
      </c>
      <c r="N524" s="7" t="s">
        <v>4616</v>
      </c>
      <c r="O524" s="7" t="s">
        <v>126</v>
      </c>
    </row>
    <row r="525" spans="1:15" x14ac:dyDescent="0.25">
      <c r="A525" s="7" t="s">
        <v>4100</v>
      </c>
      <c r="B525" s="7" t="s">
        <v>18</v>
      </c>
      <c r="C525" s="7" t="s">
        <v>2613</v>
      </c>
      <c r="D525" s="7" t="s">
        <v>364</v>
      </c>
      <c r="E525" s="7" t="s">
        <v>4450</v>
      </c>
      <c r="F525" s="7" t="s">
        <v>4449</v>
      </c>
      <c r="G525" s="7" t="s">
        <v>2345</v>
      </c>
      <c r="H525" s="7" t="s">
        <v>4448</v>
      </c>
      <c r="I525" s="7" t="s">
        <v>2581</v>
      </c>
      <c r="J525" s="209">
        <v>37500</v>
      </c>
      <c r="K525" s="209">
        <v>10000</v>
      </c>
      <c r="L525" s="209">
        <v>2500</v>
      </c>
      <c r="M525" s="209">
        <v>50000</v>
      </c>
      <c r="N525" s="61" t="s">
        <v>4621</v>
      </c>
      <c r="O525" s="7" t="s">
        <v>125</v>
      </c>
    </row>
    <row r="526" spans="1:15" x14ac:dyDescent="0.25">
      <c r="A526" s="7" t="s">
        <v>3043</v>
      </c>
      <c r="B526" s="7" t="s">
        <v>90</v>
      </c>
      <c r="C526" s="7" t="s">
        <v>2613</v>
      </c>
      <c r="D526" s="7" t="s">
        <v>408</v>
      </c>
      <c r="E526" s="7" t="s">
        <v>3042</v>
      </c>
      <c r="F526" s="7" t="s">
        <v>3041</v>
      </c>
      <c r="G526" s="7" t="s">
        <v>2345</v>
      </c>
      <c r="H526" s="7" t="s">
        <v>74</v>
      </c>
      <c r="I526" s="7" t="s">
        <v>3040</v>
      </c>
      <c r="J526" s="209">
        <v>263225</v>
      </c>
      <c r="K526" s="209">
        <v>65806.2</v>
      </c>
      <c r="L526" s="209">
        <v>0</v>
      </c>
      <c r="M526" s="209">
        <v>329031</v>
      </c>
      <c r="N526" s="7" t="s">
        <v>225</v>
      </c>
      <c r="O526" s="7" t="s">
        <v>125</v>
      </c>
    </row>
    <row r="527" spans="1:15" x14ac:dyDescent="0.25">
      <c r="A527" s="7" t="s">
        <v>3043</v>
      </c>
      <c r="B527" s="7" t="s">
        <v>90</v>
      </c>
      <c r="C527" s="7" t="s">
        <v>2613</v>
      </c>
      <c r="D527" s="7" t="s">
        <v>408</v>
      </c>
      <c r="E527" s="7" t="s">
        <v>3042</v>
      </c>
      <c r="F527" s="7" t="s">
        <v>3041</v>
      </c>
      <c r="G527" s="7" t="s">
        <v>177</v>
      </c>
      <c r="H527" s="7" t="s">
        <v>178</v>
      </c>
      <c r="I527" s="7" t="s">
        <v>3040</v>
      </c>
      <c r="J527" s="209">
        <v>54000</v>
      </c>
      <c r="K527" s="209">
        <v>13500</v>
      </c>
      <c r="L527" s="209">
        <v>0</v>
      </c>
      <c r="M527" s="209">
        <v>67500</v>
      </c>
      <c r="N527" s="7" t="s">
        <v>225</v>
      </c>
      <c r="O527" s="7" t="s">
        <v>125</v>
      </c>
    </row>
    <row r="528" spans="1:15" x14ac:dyDescent="0.25">
      <c r="A528" s="7" t="s">
        <v>3151</v>
      </c>
      <c r="B528" s="7" t="s">
        <v>18</v>
      </c>
      <c r="C528" s="7" t="s">
        <v>2613</v>
      </c>
      <c r="D528" s="7" t="s">
        <v>364</v>
      </c>
      <c r="E528" s="7" t="s">
        <v>3150</v>
      </c>
      <c r="F528" s="7" t="s">
        <v>3149</v>
      </c>
      <c r="G528" s="7" t="s">
        <v>2345</v>
      </c>
      <c r="H528" s="7" t="s">
        <v>4755</v>
      </c>
      <c r="I528" s="7" t="s">
        <v>1276</v>
      </c>
      <c r="J528" s="209">
        <v>735405</v>
      </c>
      <c r="K528" s="209">
        <v>81711.700000000012</v>
      </c>
      <c r="L528" s="209">
        <v>0</v>
      </c>
      <c r="M528" s="209">
        <v>817117</v>
      </c>
      <c r="N528" s="7" t="s">
        <v>4624</v>
      </c>
      <c r="O528" s="7" t="s">
        <v>124</v>
      </c>
    </row>
    <row r="529" spans="1:15" x14ac:dyDescent="0.25">
      <c r="A529" s="7" t="s">
        <v>3832</v>
      </c>
      <c r="B529" s="7" t="s">
        <v>18</v>
      </c>
      <c r="C529" s="7" t="s">
        <v>2613</v>
      </c>
      <c r="D529" s="7" t="s">
        <v>3831</v>
      </c>
      <c r="E529" s="7" t="s">
        <v>3830</v>
      </c>
      <c r="F529" s="7" t="s">
        <v>3829</v>
      </c>
      <c r="G529" s="7" t="s">
        <v>2345</v>
      </c>
      <c r="H529" s="7" t="s">
        <v>74</v>
      </c>
      <c r="I529" s="7" t="s">
        <v>2581</v>
      </c>
      <c r="J529" s="209">
        <v>139327</v>
      </c>
      <c r="K529" s="209">
        <v>37153.800000000003</v>
      </c>
      <c r="L529" s="209">
        <v>9288.2000000000116</v>
      </c>
      <c r="M529" s="209">
        <v>185769</v>
      </c>
      <c r="N529" s="7" t="s">
        <v>225</v>
      </c>
      <c r="O529" s="7" t="s">
        <v>125</v>
      </c>
    </row>
    <row r="530" spans="1:15" x14ac:dyDescent="0.25">
      <c r="A530" s="7" t="s">
        <v>4517</v>
      </c>
      <c r="B530" s="7" t="s">
        <v>90</v>
      </c>
      <c r="C530" s="7" t="s">
        <v>2613</v>
      </c>
      <c r="D530" s="7" t="s">
        <v>2724</v>
      </c>
      <c r="E530" s="7" t="s">
        <v>4516</v>
      </c>
      <c r="F530" s="7" t="s">
        <v>4515</v>
      </c>
      <c r="G530" s="7" t="s">
        <v>2345</v>
      </c>
      <c r="H530" s="7" t="s">
        <v>74</v>
      </c>
      <c r="I530" s="7" t="s">
        <v>1276</v>
      </c>
      <c r="J530" s="209">
        <v>472658</v>
      </c>
      <c r="K530" s="209">
        <v>52517.600000000006</v>
      </c>
      <c r="L530" s="209">
        <v>0</v>
      </c>
      <c r="M530" s="209">
        <v>525176</v>
      </c>
      <c r="N530" s="7" t="s">
        <v>624</v>
      </c>
      <c r="O530" s="7" t="s">
        <v>125</v>
      </c>
    </row>
    <row r="531" spans="1:15" x14ac:dyDescent="0.25">
      <c r="A531" s="7" t="s">
        <v>4517</v>
      </c>
      <c r="B531" s="7" t="s">
        <v>90</v>
      </c>
      <c r="C531" s="7" t="s">
        <v>2613</v>
      </c>
      <c r="D531" s="7" t="s">
        <v>2724</v>
      </c>
      <c r="E531" s="7" t="s">
        <v>4516</v>
      </c>
      <c r="F531" s="7" t="s">
        <v>4515</v>
      </c>
      <c r="G531" s="7" t="s">
        <v>177</v>
      </c>
      <c r="H531" s="7" t="s">
        <v>178</v>
      </c>
      <c r="I531" s="7" t="s">
        <v>1276</v>
      </c>
      <c r="J531" s="209">
        <v>47266</v>
      </c>
      <c r="K531" s="209">
        <v>5251.8</v>
      </c>
      <c r="L531" s="209">
        <v>0</v>
      </c>
      <c r="M531" s="209">
        <v>52518</v>
      </c>
      <c r="N531" s="7" t="s">
        <v>624</v>
      </c>
      <c r="O531" s="7" t="s">
        <v>124</v>
      </c>
    </row>
    <row r="532" spans="1:15" x14ac:dyDescent="0.25">
      <c r="A532" s="7" t="s">
        <v>3258</v>
      </c>
      <c r="B532" s="7" t="s">
        <v>18</v>
      </c>
      <c r="C532" s="7" t="s">
        <v>2613</v>
      </c>
      <c r="D532" s="7" t="s">
        <v>364</v>
      </c>
      <c r="E532" s="7" t="s">
        <v>3257</v>
      </c>
      <c r="F532" s="7" t="s">
        <v>1180</v>
      </c>
      <c r="G532" s="7" t="s">
        <v>117</v>
      </c>
      <c r="H532" s="7" t="s">
        <v>119</v>
      </c>
      <c r="I532" s="7" t="s">
        <v>1277</v>
      </c>
      <c r="J532" s="209">
        <v>99893</v>
      </c>
      <c r="K532" s="209">
        <v>24973.25</v>
      </c>
      <c r="L532" s="209">
        <v>0</v>
      </c>
      <c r="M532" s="209">
        <v>124866</v>
      </c>
      <c r="N532" s="7" t="s">
        <v>4625</v>
      </c>
      <c r="O532" s="7" t="s">
        <v>124</v>
      </c>
    </row>
    <row r="533" spans="1:15" x14ac:dyDescent="0.25">
      <c r="A533" s="7" t="s">
        <v>2984</v>
      </c>
      <c r="B533" s="7" t="s">
        <v>18</v>
      </c>
      <c r="C533" s="7" t="s">
        <v>2613</v>
      </c>
      <c r="D533" s="7" t="s">
        <v>2983</v>
      </c>
      <c r="E533" s="7" t="s">
        <v>996</v>
      </c>
      <c r="F533" s="7" t="s">
        <v>2982</v>
      </c>
      <c r="G533" s="7" t="s">
        <v>2345</v>
      </c>
      <c r="H533" s="7" t="s">
        <v>74</v>
      </c>
      <c r="I533" s="7" t="s">
        <v>2581</v>
      </c>
      <c r="J533" s="209">
        <v>242625</v>
      </c>
      <c r="K533" s="209">
        <v>72634.2</v>
      </c>
      <c r="L533" s="209">
        <v>47911.799999999988</v>
      </c>
      <c r="M533" s="209">
        <v>363171</v>
      </c>
      <c r="N533" s="7" t="s">
        <v>225</v>
      </c>
      <c r="O533" s="7" t="s">
        <v>125</v>
      </c>
    </row>
    <row r="534" spans="1:15" x14ac:dyDescent="0.25">
      <c r="A534" s="7" t="s">
        <v>3263</v>
      </c>
      <c r="B534" s="7" t="s">
        <v>18</v>
      </c>
      <c r="C534" s="7" t="s">
        <v>2613</v>
      </c>
      <c r="D534" s="7" t="s">
        <v>967</v>
      </c>
      <c r="E534" s="7" t="s">
        <v>35</v>
      </c>
      <c r="F534" s="7" t="s">
        <v>1180</v>
      </c>
      <c r="G534" s="7" t="s">
        <v>117</v>
      </c>
      <c r="H534" s="7" t="s">
        <v>119</v>
      </c>
      <c r="I534" s="7" t="s">
        <v>2581</v>
      </c>
      <c r="J534" s="209">
        <v>253327</v>
      </c>
      <c r="K534" s="209">
        <v>63331.75</v>
      </c>
      <c r="L534" s="209">
        <v>0</v>
      </c>
      <c r="M534" s="209">
        <v>316659</v>
      </c>
      <c r="N534" s="7" t="s">
        <v>4625</v>
      </c>
      <c r="O534" s="7" t="s">
        <v>125</v>
      </c>
    </row>
    <row r="535" spans="1:15" x14ac:dyDescent="0.25">
      <c r="A535" s="223" t="s">
        <v>466</v>
      </c>
      <c r="B535" s="224" t="s">
        <v>90</v>
      </c>
      <c r="C535" s="224" t="s">
        <v>2613</v>
      </c>
      <c r="D535" s="225" t="s">
        <v>446</v>
      </c>
      <c r="E535" s="224" t="s">
        <v>467</v>
      </c>
      <c r="F535" s="224" t="s">
        <v>468</v>
      </c>
      <c r="G535" s="224" t="s">
        <v>212</v>
      </c>
      <c r="H535" s="224" t="s">
        <v>213</v>
      </c>
      <c r="I535" s="224" t="s">
        <v>224</v>
      </c>
      <c r="J535" s="226"/>
      <c r="K535" s="226"/>
      <c r="L535" s="226">
        <v>610374</v>
      </c>
      <c r="M535" s="226">
        <v>610374</v>
      </c>
      <c r="N535" s="224" t="s">
        <v>82</v>
      </c>
      <c r="O535" s="224" t="s">
        <v>214</v>
      </c>
    </row>
    <row r="536" spans="1:15" x14ac:dyDescent="0.25">
      <c r="A536" s="7" t="s">
        <v>3740</v>
      </c>
      <c r="B536" s="7" t="s">
        <v>90</v>
      </c>
      <c r="C536" s="7" t="s">
        <v>2613</v>
      </c>
      <c r="D536" s="7" t="s">
        <v>2644</v>
      </c>
      <c r="E536" s="7" t="s">
        <v>3042</v>
      </c>
      <c r="F536" s="7" t="s">
        <v>3739</v>
      </c>
      <c r="G536" s="7" t="s">
        <v>2345</v>
      </c>
      <c r="H536" s="7" t="s">
        <v>74</v>
      </c>
      <c r="I536" s="7" t="s">
        <v>3040</v>
      </c>
      <c r="J536" s="209">
        <v>514800</v>
      </c>
      <c r="K536" s="209">
        <v>128700</v>
      </c>
      <c r="L536" s="209">
        <v>0</v>
      </c>
      <c r="M536" s="209">
        <v>643500</v>
      </c>
      <c r="N536" s="7" t="s">
        <v>225</v>
      </c>
      <c r="O536" s="7" t="s">
        <v>125</v>
      </c>
    </row>
    <row r="537" spans="1:15" x14ac:dyDescent="0.25">
      <c r="A537" s="7" t="s">
        <v>3740</v>
      </c>
      <c r="B537" s="7" t="s">
        <v>90</v>
      </c>
      <c r="C537" s="7" t="s">
        <v>2613</v>
      </c>
      <c r="D537" s="7" t="s">
        <v>2644</v>
      </c>
      <c r="E537" s="7" t="s">
        <v>3042</v>
      </c>
      <c r="F537" s="7" t="s">
        <v>3739</v>
      </c>
      <c r="G537" s="7" t="s">
        <v>2345</v>
      </c>
      <c r="H537" s="7" t="s">
        <v>74</v>
      </c>
      <c r="I537" s="7" t="s">
        <v>3040</v>
      </c>
      <c r="J537" s="209">
        <v>417600</v>
      </c>
      <c r="K537" s="209">
        <v>104400</v>
      </c>
      <c r="L537" s="209">
        <v>0</v>
      </c>
      <c r="M537" s="209">
        <v>522000</v>
      </c>
      <c r="N537" s="7" t="s">
        <v>225</v>
      </c>
      <c r="O537" s="7" t="s">
        <v>125</v>
      </c>
    </row>
    <row r="538" spans="1:15" x14ac:dyDescent="0.25">
      <c r="A538" s="7" t="s">
        <v>3740</v>
      </c>
      <c r="B538" s="7" t="s">
        <v>90</v>
      </c>
      <c r="C538" s="7" t="s">
        <v>2613</v>
      </c>
      <c r="D538" s="7" t="s">
        <v>2644</v>
      </c>
      <c r="E538" s="7" t="s">
        <v>3042</v>
      </c>
      <c r="F538" s="7" t="s">
        <v>3739</v>
      </c>
      <c r="G538" s="7" t="s">
        <v>177</v>
      </c>
      <c r="H538" s="7" t="s">
        <v>178</v>
      </c>
      <c r="I538" s="7" t="s">
        <v>3040</v>
      </c>
      <c r="J538" s="209">
        <v>57200</v>
      </c>
      <c r="K538" s="209">
        <v>14300</v>
      </c>
      <c r="L538" s="209">
        <v>0</v>
      </c>
      <c r="M538" s="209">
        <v>71500</v>
      </c>
      <c r="N538" s="7" t="s">
        <v>225</v>
      </c>
      <c r="O538" s="7" t="s">
        <v>125</v>
      </c>
    </row>
    <row r="539" spans="1:15" x14ac:dyDescent="0.25">
      <c r="A539" s="7" t="s">
        <v>3740</v>
      </c>
      <c r="B539" s="7" t="s">
        <v>90</v>
      </c>
      <c r="C539" s="7" t="s">
        <v>2613</v>
      </c>
      <c r="D539" s="7" t="s">
        <v>2644</v>
      </c>
      <c r="E539" s="7" t="s">
        <v>3042</v>
      </c>
      <c r="F539" s="7" t="s">
        <v>3739</v>
      </c>
      <c r="G539" s="7" t="s">
        <v>177</v>
      </c>
      <c r="H539" s="7" t="s">
        <v>178</v>
      </c>
      <c r="I539" s="7" t="s">
        <v>3040</v>
      </c>
      <c r="J539" s="209">
        <v>46400</v>
      </c>
      <c r="K539" s="209">
        <v>11600</v>
      </c>
      <c r="L539" s="209">
        <v>0</v>
      </c>
      <c r="M539" s="209">
        <v>58000</v>
      </c>
      <c r="N539" s="7" t="s">
        <v>225</v>
      </c>
      <c r="O539" s="7" t="s">
        <v>125</v>
      </c>
    </row>
    <row r="540" spans="1:15" x14ac:dyDescent="0.25">
      <c r="A540" s="221" t="s">
        <v>4689</v>
      </c>
      <c r="B540" s="221" t="s">
        <v>18</v>
      </c>
      <c r="C540" s="221" t="s">
        <v>648</v>
      </c>
      <c r="D540" s="221" t="s">
        <v>648</v>
      </c>
      <c r="E540" s="221" t="s">
        <v>657</v>
      </c>
      <c r="F540" s="221" t="s">
        <v>660</v>
      </c>
      <c r="G540" s="224" t="s">
        <v>212</v>
      </c>
      <c r="H540" s="221" t="s">
        <v>655</v>
      </c>
      <c r="I540" s="221" t="s">
        <v>652</v>
      </c>
      <c r="J540" s="226"/>
      <c r="K540" s="226"/>
      <c r="L540" s="222">
        <v>9253293.2899999991</v>
      </c>
      <c r="M540" s="222">
        <v>9253293.2899999991</v>
      </c>
      <c r="N540" s="221" t="s">
        <v>4625</v>
      </c>
      <c r="O540" s="221" t="s">
        <v>125</v>
      </c>
    </row>
    <row r="541" spans="1:15" x14ac:dyDescent="0.25">
      <c r="A541" s="221" t="s">
        <v>4689</v>
      </c>
      <c r="B541" s="221" t="s">
        <v>18</v>
      </c>
      <c r="C541" s="221" t="s">
        <v>648</v>
      </c>
      <c r="D541" s="221" t="s">
        <v>648</v>
      </c>
      <c r="E541" s="221" t="s">
        <v>657</v>
      </c>
      <c r="F541" s="221" t="s">
        <v>661</v>
      </c>
      <c r="G541" s="224" t="s">
        <v>212</v>
      </c>
      <c r="H541" s="221" t="s">
        <v>655</v>
      </c>
      <c r="I541" s="221" t="s">
        <v>652</v>
      </c>
      <c r="J541" s="226"/>
      <c r="K541" s="226"/>
      <c r="L541" s="222">
        <v>5954232.2800000003</v>
      </c>
      <c r="M541" s="222">
        <v>5954232.2800000003</v>
      </c>
      <c r="N541" s="221" t="s">
        <v>4625</v>
      </c>
      <c r="O541" s="221" t="s">
        <v>125</v>
      </c>
    </row>
    <row r="542" spans="1:15" x14ac:dyDescent="0.25">
      <c r="A542" s="221" t="s">
        <v>4689</v>
      </c>
      <c r="B542" s="221" t="s">
        <v>18</v>
      </c>
      <c r="C542" s="221" t="s">
        <v>648</v>
      </c>
      <c r="D542" s="221" t="s">
        <v>648</v>
      </c>
      <c r="E542" s="221" t="s">
        <v>657</v>
      </c>
      <c r="F542" s="221" t="s">
        <v>446</v>
      </c>
      <c r="G542" s="224" t="s">
        <v>2345</v>
      </c>
      <c r="H542" s="221" t="s">
        <v>686</v>
      </c>
      <c r="I542" s="221" t="s">
        <v>652</v>
      </c>
      <c r="J542" s="226"/>
      <c r="K542" s="226"/>
      <c r="L542" s="222">
        <v>2192786</v>
      </c>
      <c r="M542" s="222">
        <v>2192786</v>
      </c>
      <c r="N542" s="221" t="s">
        <v>4690</v>
      </c>
      <c r="O542" s="221" t="s">
        <v>125</v>
      </c>
    </row>
    <row r="543" spans="1:15" x14ac:dyDescent="0.25">
      <c r="A543" s="221" t="s">
        <v>4689</v>
      </c>
      <c r="B543" s="221" t="s">
        <v>18</v>
      </c>
      <c r="C543" s="221" t="s">
        <v>648</v>
      </c>
      <c r="D543" s="221" t="s">
        <v>648</v>
      </c>
      <c r="E543" s="221" t="s">
        <v>657</v>
      </c>
      <c r="F543" s="221" t="s">
        <v>658</v>
      </c>
      <c r="G543" s="224" t="s">
        <v>2345</v>
      </c>
      <c r="H543" s="221" t="s">
        <v>659</v>
      </c>
      <c r="I543" s="221" t="s">
        <v>652</v>
      </c>
      <c r="J543" s="226"/>
      <c r="K543" s="226"/>
      <c r="L543" s="222">
        <v>6695100.8600000003</v>
      </c>
      <c r="M543" s="222">
        <v>6695100.8600000003</v>
      </c>
      <c r="N543" s="221" t="s">
        <v>82</v>
      </c>
      <c r="O543" s="221" t="s">
        <v>124</v>
      </c>
    </row>
    <row r="544" spans="1:15" x14ac:dyDescent="0.25">
      <c r="A544" s="7" t="s">
        <v>2725</v>
      </c>
      <c r="B544" s="7" t="s">
        <v>90</v>
      </c>
      <c r="C544" s="7" t="s">
        <v>2613</v>
      </c>
      <c r="D544" s="7" t="s">
        <v>2724</v>
      </c>
      <c r="E544" s="7" t="s">
        <v>233</v>
      </c>
      <c r="F544" s="7" t="s">
        <v>1144</v>
      </c>
      <c r="G544" s="7" t="s">
        <v>2345</v>
      </c>
      <c r="H544" s="7" t="s">
        <v>1817</v>
      </c>
      <c r="I544" s="7" t="s">
        <v>1275</v>
      </c>
      <c r="J544" s="209">
        <v>534600</v>
      </c>
      <c r="K544" s="209">
        <v>59400</v>
      </c>
      <c r="L544" s="209">
        <v>0</v>
      </c>
      <c r="M544" s="209">
        <v>594000</v>
      </c>
      <c r="N544" s="7" t="s">
        <v>225</v>
      </c>
      <c r="O544" s="7" t="s">
        <v>125</v>
      </c>
    </row>
    <row r="545" spans="1:15" x14ac:dyDescent="0.25">
      <c r="A545" s="7" t="s">
        <v>2725</v>
      </c>
      <c r="B545" s="7" t="s">
        <v>90</v>
      </c>
      <c r="C545" s="7" t="s">
        <v>2613</v>
      </c>
      <c r="D545" s="7" t="s">
        <v>2724</v>
      </c>
      <c r="E545" s="7" t="s">
        <v>233</v>
      </c>
      <c r="F545" s="7" t="s">
        <v>1144</v>
      </c>
      <c r="G545" s="7" t="s">
        <v>177</v>
      </c>
      <c r="H545" s="7" t="s">
        <v>178</v>
      </c>
      <c r="I545" s="7" t="s">
        <v>1275</v>
      </c>
      <c r="J545" s="209">
        <v>59400</v>
      </c>
      <c r="K545" s="209">
        <v>6600</v>
      </c>
      <c r="L545" s="209">
        <v>0</v>
      </c>
      <c r="M545" s="209">
        <v>66000</v>
      </c>
      <c r="N545" s="7" t="s">
        <v>225</v>
      </c>
      <c r="O545" s="7" t="s">
        <v>125</v>
      </c>
    </row>
    <row r="546" spans="1:15" x14ac:dyDescent="0.25">
      <c r="A546" s="223" t="s">
        <v>469</v>
      </c>
      <c r="B546" s="224" t="s">
        <v>90</v>
      </c>
      <c r="C546" s="224" t="s">
        <v>2613</v>
      </c>
      <c r="D546" s="225" t="s">
        <v>470</v>
      </c>
      <c r="E546" s="224" t="s">
        <v>471</v>
      </c>
      <c r="F546" s="224" t="s">
        <v>472</v>
      </c>
      <c r="G546" s="224" t="s">
        <v>177</v>
      </c>
      <c r="H546" s="224" t="s">
        <v>178</v>
      </c>
      <c r="I546" s="224" t="s">
        <v>224</v>
      </c>
      <c r="J546" s="226"/>
      <c r="K546" s="226"/>
      <c r="L546" s="226">
        <v>159375</v>
      </c>
      <c r="M546" s="226">
        <v>159375</v>
      </c>
      <c r="N546" s="224" t="s">
        <v>82</v>
      </c>
      <c r="O546" s="224" t="s">
        <v>214</v>
      </c>
    </row>
    <row r="547" spans="1:15" x14ac:dyDescent="0.25">
      <c r="A547" s="187" t="s">
        <v>802</v>
      </c>
      <c r="B547" s="61" t="s">
        <v>90</v>
      </c>
      <c r="C547" s="61" t="s">
        <v>2613</v>
      </c>
      <c r="D547" s="199" t="s">
        <v>953</v>
      </c>
      <c r="E547" s="199" t="s">
        <v>1033</v>
      </c>
      <c r="F547" s="199" t="s">
        <v>1141</v>
      </c>
      <c r="G547" s="7" t="s">
        <v>2345</v>
      </c>
      <c r="H547" s="199" t="s">
        <v>4749</v>
      </c>
      <c r="I547" s="199" t="s">
        <v>2581</v>
      </c>
      <c r="J547" s="235">
        <v>8704.9500000000007</v>
      </c>
      <c r="K547" s="211">
        <v>8113.0499999999993</v>
      </c>
      <c r="L547" s="211">
        <v>0</v>
      </c>
      <c r="M547" s="235">
        <v>16818</v>
      </c>
      <c r="N547" s="61" t="s">
        <v>82</v>
      </c>
      <c r="O547" s="61" t="s">
        <v>126</v>
      </c>
    </row>
    <row r="548" spans="1:15" x14ac:dyDescent="0.25">
      <c r="A548" s="223" t="s">
        <v>473</v>
      </c>
      <c r="B548" s="224" t="s">
        <v>90</v>
      </c>
      <c r="C548" s="224" t="s">
        <v>150</v>
      </c>
      <c r="D548" s="225" t="s">
        <v>474</v>
      </c>
      <c r="E548" s="224" t="s">
        <v>475</v>
      </c>
      <c r="F548" s="224" t="s">
        <v>476</v>
      </c>
      <c r="G548" s="224" t="s">
        <v>73</v>
      </c>
      <c r="H548" s="224" t="s">
        <v>245</v>
      </c>
      <c r="I548" s="224" t="s">
        <v>224</v>
      </c>
      <c r="J548" s="226"/>
      <c r="K548" s="226"/>
      <c r="L548" s="226">
        <v>514085.41</v>
      </c>
      <c r="M548" s="226">
        <v>514085.41</v>
      </c>
      <c r="N548" s="224" t="s">
        <v>82</v>
      </c>
      <c r="O548" s="224" t="s">
        <v>214</v>
      </c>
    </row>
    <row r="549" spans="1:15" ht="15.75" x14ac:dyDescent="0.25">
      <c r="A549" s="224" t="s">
        <v>4701</v>
      </c>
      <c r="B549" s="224" t="s">
        <v>18</v>
      </c>
      <c r="C549" s="224" t="s">
        <v>138</v>
      </c>
      <c r="D549" s="224" t="s">
        <v>129</v>
      </c>
      <c r="E549" s="224" t="s">
        <v>41</v>
      </c>
      <c r="F549" s="224" t="s">
        <v>132</v>
      </c>
      <c r="G549" s="224" t="s">
        <v>2345</v>
      </c>
      <c r="H549" s="224" t="s">
        <v>74</v>
      </c>
      <c r="I549" s="227" t="s">
        <v>83</v>
      </c>
      <c r="J549" s="224"/>
      <c r="K549" s="224"/>
      <c r="L549" s="226">
        <v>3653457.31</v>
      </c>
      <c r="M549" s="226">
        <v>3653457.31</v>
      </c>
      <c r="N549" s="224" t="s">
        <v>225</v>
      </c>
      <c r="O549" s="224" t="s">
        <v>125</v>
      </c>
    </row>
    <row r="550" spans="1:15" ht="15.75" x14ac:dyDescent="0.25">
      <c r="A550" s="224" t="s">
        <v>4701</v>
      </c>
      <c r="B550" s="224" t="s">
        <v>18</v>
      </c>
      <c r="C550" s="224" t="s">
        <v>138</v>
      </c>
      <c r="D550" s="224" t="s">
        <v>129</v>
      </c>
      <c r="E550" s="224" t="s">
        <v>41</v>
      </c>
      <c r="F550" s="224" t="s">
        <v>131</v>
      </c>
      <c r="G550" s="224" t="s">
        <v>2345</v>
      </c>
      <c r="H550" s="224" t="s">
        <v>74</v>
      </c>
      <c r="I550" s="227" t="s">
        <v>83</v>
      </c>
      <c r="J550" s="224"/>
      <c r="K550" s="224"/>
      <c r="L550" s="226">
        <v>2022758</v>
      </c>
      <c r="M550" s="226">
        <v>2022758</v>
      </c>
      <c r="N550" s="224" t="s">
        <v>225</v>
      </c>
      <c r="O550" s="224" t="s">
        <v>125</v>
      </c>
    </row>
    <row r="551" spans="1:15" ht="15.75" x14ac:dyDescent="0.25">
      <c r="A551" s="224" t="s">
        <v>4701</v>
      </c>
      <c r="B551" s="224" t="s">
        <v>18</v>
      </c>
      <c r="C551" s="224" t="s">
        <v>138</v>
      </c>
      <c r="D551" s="224" t="s">
        <v>129</v>
      </c>
      <c r="E551" s="224" t="s">
        <v>130</v>
      </c>
      <c r="F551" s="224" t="s">
        <v>133</v>
      </c>
      <c r="G551" s="224" t="s">
        <v>2345</v>
      </c>
      <c r="H551" s="224" t="s">
        <v>136</v>
      </c>
      <c r="I551" s="227" t="s">
        <v>83</v>
      </c>
      <c r="J551" s="224"/>
      <c r="K551" s="224"/>
      <c r="L551" s="226">
        <v>186216.05</v>
      </c>
      <c r="M551" s="226">
        <v>186216.05</v>
      </c>
      <c r="N551" s="224" t="s">
        <v>4625</v>
      </c>
      <c r="O551" s="224" t="s">
        <v>124</v>
      </c>
    </row>
    <row r="552" spans="1:15" ht="15.75" x14ac:dyDescent="0.25">
      <c r="A552" s="224" t="s">
        <v>4701</v>
      </c>
      <c r="B552" s="224" t="s">
        <v>128</v>
      </c>
      <c r="C552" s="224" t="s">
        <v>138</v>
      </c>
      <c r="D552" s="224" t="s">
        <v>129</v>
      </c>
      <c r="E552" s="224" t="s">
        <v>41</v>
      </c>
      <c r="F552" s="224" t="s">
        <v>134</v>
      </c>
      <c r="G552" s="224" t="s">
        <v>2345</v>
      </c>
      <c r="H552" s="224" t="s">
        <v>3118</v>
      </c>
      <c r="I552" s="227" t="s">
        <v>83</v>
      </c>
      <c r="J552" s="224"/>
      <c r="K552" s="224"/>
      <c r="L552" s="226">
        <v>429872.43</v>
      </c>
      <c r="M552" s="226">
        <v>429872.43</v>
      </c>
      <c r="N552" s="224" t="s">
        <v>4616</v>
      </c>
      <c r="O552" s="224" t="s">
        <v>124</v>
      </c>
    </row>
    <row r="553" spans="1:15" ht="15.75" x14ac:dyDescent="0.25">
      <c r="A553" s="224" t="s">
        <v>4701</v>
      </c>
      <c r="B553" s="224" t="s">
        <v>18</v>
      </c>
      <c r="C553" s="224" t="s">
        <v>138</v>
      </c>
      <c r="D553" s="224" t="s">
        <v>129</v>
      </c>
      <c r="E553" s="224" t="s">
        <v>41</v>
      </c>
      <c r="F553" s="224" t="s">
        <v>41</v>
      </c>
      <c r="G553" s="224" t="s">
        <v>2345</v>
      </c>
      <c r="H553" s="224" t="s">
        <v>135</v>
      </c>
      <c r="I553" s="227" t="s">
        <v>83</v>
      </c>
      <c r="J553" s="224"/>
      <c r="K553" s="224"/>
      <c r="L553" s="226">
        <v>187510.88</v>
      </c>
      <c r="M553" s="226">
        <v>187510.88</v>
      </c>
      <c r="N553" s="224" t="s">
        <v>4620</v>
      </c>
      <c r="O553" s="224" t="s">
        <v>124</v>
      </c>
    </row>
    <row r="554" spans="1:15" x14ac:dyDescent="0.25">
      <c r="A554" s="223" t="s">
        <v>4701</v>
      </c>
      <c r="B554" s="224" t="s">
        <v>90</v>
      </c>
      <c r="C554" s="224" t="s">
        <v>2613</v>
      </c>
      <c r="D554" s="225" t="s">
        <v>287</v>
      </c>
      <c r="E554" s="224" t="s">
        <v>288</v>
      </c>
      <c r="F554" s="224" t="s">
        <v>289</v>
      </c>
      <c r="G554" s="224" t="s">
        <v>2345</v>
      </c>
      <c r="H554" s="224" t="s">
        <v>219</v>
      </c>
      <c r="I554" s="224" t="s">
        <v>220</v>
      </c>
      <c r="J554" s="226"/>
      <c r="K554" s="226"/>
      <c r="L554" s="226">
        <v>43940</v>
      </c>
      <c r="M554" s="226">
        <v>43940</v>
      </c>
      <c r="N554" s="224" t="s">
        <v>225</v>
      </c>
      <c r="O554" s="224" t="s">
        <v>125</v>
      </c>
    </row>
    <row r="555" spans="1:15" x14ac:dyDescent="0.25">
      <c r="A555" s="187" t="s">
        <v>806</v>
      </c>
      <c r="B555" s="61" t="s">
        <v>18</v>
      </c>
      <c r="C555" s="61" t="s">
        <v>150</v>
      </c>
      <c r="D555" s="199" t="s">
        <v>4664</v>
      </c>
      <c r="E555" s="199" t="s">
        <v>1037</v>
      </c>
      <c r="F555" s="199" t="s">
        <v>1146</v>
      </c>
      <c r="G555" s="7" t="s">
        <v>2345</v>
      </c>
      <c r="H555" s="8" t="s">
        <v>78</v>
      </c>
      <c r="I555" s="199" t="s">
        <v>2581</v>
      </c>
      <c r="J555" s="235">
        <v>91797.7</v>
      </c>
      <c r="K555" s="211">
        <v>30599.300000000003</v>
      </c>
      <c r="L555" s="211">
        <v>0</v>
      </c>
      <c r="M555" s="235">
        <v>122397</v>
      </c>
      <c r="N555" s="61" t="s">
        <v>79</v>
      </c>
      <c r="O555" s="61" t="s">
        <v>124</v>
      </c>
    </row>
    <row r="556" spans="1:15" x14ac:dyDescent="0.25">
      <c r="A556" s="187" t="s">
        <v>836</v>
      </c>
      <c r="B556" s="61" t="s">
        <v>90</v>
      </c>
      <c r="C556" s="61" t="s">
        <v>150</v>
      </c>
      <c r="D556" s="199" t="s">
        <v>928</v>
      </c>
      <c r="E556" s="199" t="s">
        <v>1057</v>
      </c>
      <c r="F556" s="199" t="s">
        <v>1174</v>
      </c>
      <c r="G556" s="7" t="s">
        <v>2345</v>
      </c>
      <c r="H556" s="199" t="s">
        <v>1195</v>
      </c>
      <c r="I556" s="199" t="s">
        <v>2581</v>
      </c>
      <c r="J556" s="235">
        <v>3743.68</v>
      </c>
      <c r="K556" s="211">
        <v>4055.32</v>
      </c>
      <c r="L556" s="211">
        <v>0</v>
      </c>
      <c r="M556" s="235">
        <v>7799</v>
      </c>
      <c r="N556" s="61" t="s">
        <v>4625</v>
      </c>
      <c r="O556" s="61" t="s">
        <v>125</v>
      </c>
    </row>
    <row r="557" spans="1:15" x14ac:dyDescent="0.25">
      <c r="A557" s="7" t="s">
        <v>4471</v>
      </c>
      <c r="B557" s="7" t="s">
        <v>18</v>
      </c>
      <c r="C557" s="7" t="s">
        <v>150</v>
      </c>
      <c r="D557" s="7" t="s">
        <v>495</v>
      </c>
      <c r="E557" s="7" t="s">
        <v>251</v>
      </c>
      <c r="F557" s="7" t="s">
        <v>4470</v>
      </c>
      <c r="G557" s="8" t="s">
        <v>73</v>
      </c>
      <c r="H557" s="7" t="s">
        <v>245</v>
      </c>
      <c r="I557" s="7" t="s">
        <v>2581</v>
      </c>
      <c r="J557" s="209">
        <v>860000</v>
      </c>
      <c r="K557" s="209">
        <v>238000</v>
      </c>
      <c r="L557" s="209">
        <v>102000</v>
      </c>
      <c r="M557" s="209">
        <v>1200000</v>
      </c>
      <c r="N557" s="7" t="s">
        <v>4624</v>
      </c>
      <c r="O557" s="7" t="s">
        <v>124</v>
      </c>
    </row>
    <row r="558" spans="1:15" x14ac:dyDescent="0.25">
      <c r="A558" s="187" t="s">
        <v>841</v>
      </c>
      <c r="B558" s="61" t="s">
        <v>18</v>
      </c>
      <c r="C558" s="61" t="s">
        <v>150</v>
      </c>
      <c r="D558" s="199" t="s">
        <v>970</v>
      </c>
      <c r="E558" s="199" t="s">
        <v>151</v>
      </c>
      <c r="F558" s="199" t="s">
        <v>1178</v>
      </c>
      <c r="G558" s="7" t="s">
        <v>2345</v>
      </c>
      <c r="H558" s="199" t="s">
        <v>4714</v>
      </c>
      <c r="I558" s="199" t="s">
        <v>2581</v>
      </c>
      <c r="J558" s="235">
        <v>1000000</v>
      </c>
      <c r="K558" s="211">
        <v>250000</v>
      </c>
      <c r="L558" s="211">
        <v>0</v>
      </c>
      <c r="M558" s="235">
        <v>1250000</v>
      </c>
      <c r="N558" s="61" t="s">
        <v>79</v>
      </c>
      <c r="O558" s="61" t="s">
        <v>124</v>
      </c>
    </row>
    <row r="559" spans="1:15" x14ac:dyDescent="0.25">
      <c r="A559" s="187" t="s">
        <v>772</v>
      </c>
      <c r="B559" s="61" t="s">
        <v>90</v>
      </c>
      <c r="C559" s="61" t="s">
        <v>150</v>
      </c>
      <c r="D559" s="199" t="s">
        <v>939</v>
      </c>
      <c r="E559" s="199" t="s">
        <v>1010</v>
      </c>
      <c r="F559" s="199" t="s">
        <v>1118</v>
      </c>
      <c r="G559" s="7" t="s">
        <v>2345</v>
      </c>
      <c r="H559" s="199" t="s">
        <v>1195</v>
      </c>
      <c r="I559" s="199" t="s">
        <v>1277</v>
      </c>
      <c r="J559" s="235">
        <v>564.53</v>
      </c>
      <c r="K559" s="211">
        <v>317.47000000000003</v>
      </c>
      <c r="L559" s="211">
        <v>0</v>
      </c>
      <c r="M559" s="235">
        <v>882</v>
      </c>
      <c r="N559" s="61" t="s">
        <v>4625</v>
      </c>
      <c r="O559" s="61" t="s">
        <v>125</v>
      </c>
    </row>
    <row r="560" spans="1:15" x14ac:dyDescent="0.25">
      <c r="A560" s="187" t="s">
        <v>847</v>
      </c>
      <c r="B560" s="61" t="s">
        <v>90</v>
      </c>
      <c r="C560" s="61" t="s">
        <v>150</v>
      </c>
      <c r="D560" s="199" t="s">
        <v>163</v>
      </c>
      <c r="E560" s="199" t="s">
        <v>1066</v>
      </c>
      <c r="F560" s="199" t="s">
        <v>1182</v>
      </c>
      <c r="G560" s="224" t="s">
        <v>212</v>
      </c>
      <c r="H560" s="7" t="s">
        <v>1199</v>
      </c>
      <c r="I560" s="199" t="s">
        <v>2284</v>
      </c>
      <c r="J560" s="235">
        <v>2913.14</v>
      </c>
      <c r="K560" s="211">
        <v>727.86000000000013</v>
      </c>
      <c r="L560" s="211">
        <v>0</v>
      </c>
      <c r="M560" s="235">
        <v>3641</v>
      </c>
      <c r="N560" s="61" t="s">
        <v>4620</v>
      </c>
      <c r="O560" s="61" t="s">
        <v>124</v>
      </c>
    </row>
    <row r="561" spans="1:15" x14ac:dyDescent="0.25">
      <c r="A561" s="187" t="s">
        <v>757</v>
      </c>
      <c r="B561" s="61" t="s">
        <v>90</v>
      </c>
      <c r="C561" s="61" t="s">
        <v>150</v>
      </c>
      <c r="D561" s="199" t="s">
        <v>934</v>
      </c>
      <c r="E561" s="199" t="s">
        <v>251</v>
      </c>
      <c r="F561" s="199" t="s">
        <v>251</v>
      </c>
      <c r="G561" s="7" t="s">
        <v>2345</v>
      </c>
      <c r="H561" s="199" t="s">
        <v>75</v>
      </c>
      <c r="I561" s="199" t="s">
        <v>1276</v>
      </c>
      <c r="J561" s="235">
        <v>207782.89</v>
      </c>
      <c r="K561" s="211">
        <v>23087.109999999986</v>
      </c>
      <c r="L561" s="211">
        <v>0</v>
      </c>
      <c r="M561" s="235">
        <v>230870</v>
      </c>
      <c r="N561" s="61" t="s">
        <v>4624</v>
      </c>
      <c r="O561" s="61" t="s">
        <v>124</v>
      </c>
    </row>
    <row r="562" spans="1:15" x14ac:dyDescent="0.25">
      <c r="A562" s="187" t="s">
        <v>738</v>
      </c>
      <c r="B562" s="61" t="s">
        <v>90</v>
      </c>
      <c r="C562" s="61" t="s">
        <v>150</v>
      </c>
      <c r="D562" s="199" t="s">
        <v>921</v>
      </c>
      <c r="E562" s="199" t="s">
        <v>251</v>
      </c>
      <c r="F562" s="199" t="s">
        <v>1090</v>
      </c>
      <c r="G562" s="7" t="s">
        <v>2345</v>
      </c>
      <c r="H562" s="199" t="s">
        <v>4713</v>
      </c>
      <c r="I562" s="199" t="s">
        <v>2581</v>
      </c>
      <c r="J562" s="235">
        <v>294388</v>
      </c>
      <c r="K562" s="211">
        <v>318920</v>
      </c>
      <c r="L562" s="211">
        <v>0</v>
      </c>
      <c r="M562" s="235">
        <v>613308</v>
      </c>
      <c r="N562" s="61" t="s">
        <v>4624</v>
      </c>
      <c r="O562" s="61" t="s">
        <v>124</v>
      </c>
    </row>
    <row r="563" spans="1:15" x14ac:dyDescent="0.25">
      <c r="A563" s="187" t="s">
        <v>747</v>
      </c>
      <c r="B563" s="61" t="s">
        <v>18</v>
      </c>
      <c r="C563" s="61" t="s">
        <v>150</v>
      </c>
      <c r="D563" s="199" t="s">
        <v>928</v>
      </c>
      <c r="E563" s="199" t="s">
        <v>992</v>
      </c>
      <c r="F563" s="199" t="s">
        <v>1099</v>
      </c>
      <c r="G563" s="7" t="s">
        <v>2345</v>
      </c>
      <c r="H563" s="199" t="s">
        <v>74</v>
      </c>
      <c r="I563" s="199" t="s">
        <v>2581</v>
      </c>
      <c r="J563" s="235">
        <v>9281</v>
      </c>
      <c r="K563" s="211">
        <v>3094</v>
      </c>
      <c r="L563" s="211">
        <v>0</v>
      </c>
      <c r="M563" s="235">
        <v>12375</v>
      </c>
      <c r="N563" s="61" t="s">
        <v>225</v>
      </c>
      <c r="O563" s="61" t="s">
        <v>125</v>
      </c>
    </row>
    <row r="564" spans="1:15" x14ac:dyDescent="0.25">
      <c r="A564" s="7" t="s">
        <v>3374</v>
      </c>
      <c r="B564" s="7" t="s">
        <v>18</v>
      </c>
      <c r="C564" s="7" t="s">
        <v>150</v>
      </c>
      <c r="D564" s="7" t="s">
        <v>934</v>
      </c>
      <c r="E564" s="7" t="s">
        <v>3373</v>
      </c>
      <c r="F564" s="7" t="s">
        <v>3372</v>
      </c>
      <c r="G564" s="7" t="s">
        <v>2345</v>
      </c>
      <c r="H564" s="7" t="s">
        <v>74</v>
      </c>
      <c r="I564" s="7" t="s">
        <v>2581</v>
      </c>
      <c r="J564" s="209">
        <v>99350</v>
      </c>
      <c r="K564" s="209">
        <v>26493.200000000001</v>
      </c>
      <c r="L564" s="209">
        <v>6622.8000000000029</v>
      </c>
      <c r="M564" s="209">
        <v>132466</v>
      </c>
      <c r="N564" s="7" t="s">
        <v>225</v>
      </c>
      <c r="O564" s="7" t="s">
        <v>125</v>
      </c>
    </row>
    <row r="565" spans="1:15" x14ac:dyDescent="0.25">
      <c r="A565" s="7" t="s">
        <v>3374</v>
      </c>
      <c r="B565" s="7" t="s">
        <v>18</v>
      </c>
      <c r="C565" s="7" t="s">
        <v>150</v>
      </c>
      <c r="D565" s="7" t="s">
        <v>934</v>
      </c>
      <c r="E565" s="7" t="s">
        <v>3373</v>
      </c>
      <c r="F565" s="7" t="s">
        <v>3372</v>
      </c>
      <c r="G565" s="7" t="s">
        <v>177</v>
      </c>
      <c r="H565" s="7" t="s">
        <v>178</v>
      </c>
      <c r="I565" s="7" t="s">
        <v>2581</v>
      </c>
      <c r="J565" s="209">
        <v>15000</v>
      </c>
      <c r="K565" s="209">
        <v>4000</v>
      </c>
      <c r="L565" s="209">
        <v>1000</v>
      </c>
      <c r="M565" s="209">
        <v>20000</v>
      </c>
      <c r="N565" s="7" t="s">
        <v>225</v>
      </c>
      <c r="O565" s="7" t="s">
        <v>125</v>
      </c>
    </row>
    <row r="566" spans="1:15" x14ac:dyDescent="0.25">
      <c r="A566" s="7" t="s">
        <v>4493</v>
      </c>
      <c r="B566" s="7" t="s">
        <v>18</v>
      </c>
      <c r="C566" s="7" t="s">
        <v>150</v>
      </c>
      <c r="D566" s="7" t="s">
        <v>3822</v>
      </c>
      <c r="E566" s="7" t="s">
        <v>4492</v>
      </c>
      <c r="F566" s="7" t="s">
        <v>4491</v>
      </c>
      <c r="G566" s="7" t="s">
        <v>2345</v>
      </c>
      <c r="H566" s="7" t="s">
        <v>651</v>
      </c>
      <c r="I566" s="7" t="s">
        <v>1277</v>
      </c>
      <c r="J566" s="209">
        <v>1276000</v>
      </c>
      <c r="K566" s="209">
        <v>319000</v>
      </c>
      <c r="L566" s="209">
        <v>0</v>
      </c>
      <c r="M566" s="209">
        <v>1595000</v>
      </c>
      <c r="N566" s="7" t="s">
        <v>4625</v>
      </c>
      <c r="O566" s="7" t="s">
        <v>124</v>
      </c>
    </row>
    <row r="567" spans="1:15" x14ac:dyDescent="0.25">
      <c r="A567" s="7" t="s">
        <v>4493</v>
      </c>
      <c r="B567" s="7" t="s">
        <v>18</v>
      </c>
      <c r="C567" s="7" t="s">
        <v>150</v>
      </c>
      <c r="D567" s="7" t="s">
        <v>3822</v>
      </c>
      <c r="E567" s="7" t="s">
        <v>4492</v>
      </c>
      <c r="F567" s="7" t="s">
        <v>4491</v>
      </c>
      <c r="G567" s="7" t="s">
        <v>177</v>
      </c>
      <c r="H567" s="7" t="s">
        <v>178</v>
      </c>
      <c r="I567" s="7" t="s">
        <v>1277</v>
      </c>
      <c r="J567" s="209">
        <v>165360</v>
      </c>
      <c r="K567" s="209">
        <v>41340</v>
      </c>
      <c r="L567" s="209">
        <v>0</v>
      </c>
      <c r="M567" s="209">
        <v>206700</v>
      </c>
      <c r="N567" s="7" t="s">
        <v>4625</v>
      </c>
      <c r="O567" s="7" t="s">
        <v>125</v>
      </c>
    </row>
    <row r="568" spans="1:15" x14ac:dyDescent="0.25">
      <c r="A568" s="223" t="s">
        <v>477</v>
      </c>
      <c r="B568" s="224" t="s">
        <v>90</v>
      </c>
      <c r="C568" s="224" t="s">
        <v>150</v>
      </c>
      <c r="D568" s="225" t="s">
        <v>478</v>
      </c>
      <c r="E568" s="224" t="s">
        <v>479</v>
      </c>
      <c r="F568" s="224" t="s">
        <v>480</v>
      </c>
      <c r="G568" s="224" t="s">
        <v>73</v>
      </c>
      <c r="H568" s="224" t="s">
        <v>245</v>
      </c>
      <c r="I568" s="224" t="s">
        <v>224</v>
      </c>
      <c r="J568" s="226"/>
      <c r="K568" s="226"/>
      <c r="L568" s="226">
        <v>1584</v>
      </c>
      <c r="M568" s="226">
        <v>1584</v>
      </c>
      <c r="N568" s="224" t="s">
        <v>4623</v>
      </c>
      <c r="O568" s="224" t="s">
        <v>124</v>
      </c>
    </row>
    <row r="569" spans="1:15" x14ac:dyDescent="0.25">
      <c r="A569" s="223" t="s">
        <v>481</v>
      </c>
      <c r="B569" s="224" t="s">
        <v>90</v>
      </c>
      <c r="C569" s="224" t="s">
        <v>150</v>
      </c>
      <c r="D569" s="225" t="s">
        <v>482</v>
      </c>
      <c r="E569" s="224" t="s">
        <v>483</v>
      </c>
      <c r="F569" s="224" t="s">
        <v>484</v>
      </c>
      <c r="G569" s="224" t="s">
        <v>117</v>
      </c>
      <c r="H569" s="224" t="s">
        <v>119</v>
      </c>
      <c r="I569" s="224" t="s">
        <v>224</v>
      </c>
      <c r="J569" s="226"/>
      <c r="K569" s="226"/>
      <c r="L569" s="226">
        <v>59606</v>
      </c>
      <c r="M569" s="226">
        <v>59606</v>
      </c>
      <c r="N569" s="224" t="s">
        <v>4624</v>
      </c>
      <c r="O569" s="224" t="s">
        <v>124</v>
      </c>
    </row>
    <row r="570" spans="1:15" x14ac:dyDescent="0.25">
      <c r="A570" s="223" t="s">
        <v>485</v>
      </c>
      <c r="B570" s="224" t="s">
        <v>90</v>
      </c>
      <c r="C570" s="224" t="s">
        <v>150</v>
      </c>
      <c r="D570" s="225" t="s">
        <v>163</v>
      </c>
      <c r="E570" s="224" t="s">
        <v>486</v>
      </c>
      <c r="F570" s="224" t="s">
        <v>487</v>
      </c>
      <c r="G570" s="224" t="s">
        <v>73</v>
      </c>
      <c r="H570" s="224" t="s">
        <v>245</v>
      </c>
      <c r="I570" s="224" t="s">
        <v>224</v>
      </c>
      <c r="J570" s="226"/>
      <c r="K570" s="226"/>
      <c r="L570" s="226">
        <v>18747</v>
      </c>
      <c r="M570" s="226">
        <v>18747</v>
      </c>
      <c r="N570" s="224" t="s">
        <v>4624</v>
      </c>
      <c r="O570" s="224" t="s">
        <v>124</v>
      </c>
    </row>
    <row r="571" spans="1:15" x14ac:dyDescent="0.25">
      <c r="A571" s="223" t="s">
        <v>488</v>
      </c>
      <c r="B571" s="224" t="s">
        <v>90</v>
      </c>
      <c r="C571" s="224" t="s">
        <v>150</v>
      </c>
      <c r="D571" s="225" t="s">
        <v>163</v>
      </c>
      <c r="E571" s="224" t="s">
        <v>489</v>
      </c>
      <c r="F571" s="224" t="s">
        <v>490</v>
      </c>
      <c r="G571" s="224" t="s">
        <v>73</v>
      </c>
      <c r="H571" s="224" t="s">
        <v>245</v>
      </c>
      <c r="I571" s="224" t="s">
        <v>224</v>
      </c>
      <c r="J571" s="226"/>
      <c r="K571" s="226"/>
      <c r="L571" s="226">
        <v>21530</v>
      </c>
      <c r="M571" s="226">
        <v>21530</v>
      </c>
      <c r="N571" s="224" t="s">
        <v>4624</v>
      </c>
      <c r="O571" s="224" t="s">
        <v>124</v>
      </c>
    </row>
    <row r="572" spans="1:15" x14ac:dyDescent="0.25">
      <c r="A572" s="223" t="s">
        <v>491</v>
      </c>
      <c r="B572" s="224" t="s">
        <v>90</v>
      </c>
      <c r="C572" s="224" t="s">
        <v>150</v>
      </c>
      <c r="D572" s="225" t="s">
        <v>492</v>
      </c>
      <c r="E572" s="224" t="s">
        <v>365</v>
      </c>
      <c r="F572" s="224" t="s">
        <v>493</v>
      </c>
      <c r="G572" s="224" t="s">
        <v>212</v>
      </c>
      <c r="H572" s="224" t="s">
        <v>213</v>
      </c>
      <c r="I572" s="224" t="s">
        <v>224</v>
      </c>
      <c r="J572" s="226"/>
      <c r="K572" s="226"/>
      <c r="L572" s="226">
        <v>25367.360000000001</v>
      </c>
      <c r="M572" s="226">
        <v>25367.360000000001</v>
      </c>
      <c r="N572" s="224" t="s">
        <v>79</v>
      </c>
      <c r="O572" s="224" t="s">
        <v>124</v>
      </c>
    </row>
    <row r="573" spans="1:15" x14ac:dyDescent="0.25">
      <c r="A573" s="187" t="s">
        <v>761</v>
      </c>
      <c r="B573" s="61" t="s">
        <v>18</v>
      </c>
      <c r="C573" s="61" t="s">
        <v>150</v>
      </c>
      <c r="D573" s="199" t="s">
        <v>4066</v>
      </c>
      <c r="E573" s="199" t="s">
        <v>1003</v>
      </c>
      <c r="F573" s="199" t="s">
        <v>1110</v>
      </c>
      <c r="G573" s="7" t="s">
        <v>2345</v>
      </c>
      <c r="H573" s="199" t="s">
        <v>74</v>
      </c>
      <c r="I573" s="199" t="s">
        <v>2581</v>
      </c>
      <c r="J573" s="235">
        <v>7255.8</v>
      </c>
      <c r="K573" s="211">
        <v>2418.1999999999998</v>
      </c>
      <c r="L573" s="211">
        <v>0</v>
      </c>
      <c r="M573" s="235">
        <v>9674</v>
      </c>
      <c r="N573" s="61" t="s">
        <v>225</v>
      </c>
      <c r="O573" s="61" t="s">
        <v>125</v>
      </c>
    </row>
    <row r="574" spans="1:15" x14ac:dyDescent="0.25">
      <c r="A574" s="7" t="s">
        <v>3063</v>
      </c>
      <c r="B574" s="7" t="s">
        <v>18</v>
      </c>
      <c r="C574" s="7" t="s">
        <v>150</v>
      </c>
      <c r="D574" s="7" t="s">
        <v>3062</v>
      </c>
      <c r="E574" s="7" t="s">
        <v>3061</v>
      </c>
      <c r="F574" s="7" t="s">
        <v>176</v>
      </c>
      <c r="G574" s="7" t="s">
        <v>2345</v>
      </c>
      <c r="H574" s="221" t="s">
        <v>148</v>
      </c>
      <c r="I574" s="7" t="s">
        <v>1277</v>
      </c>
      <c r="J574" s="209">
        <v>1920000</v>
      </c>
      <c r="K574" s="209">
        <v>480000</v>
      </c>
      <c r="L574" s="209">
        <v>0</v>
      </c>
      <c r="M574" s="209">
        <v>2400000</v>
      </c>
      <c r="N574" s="7" t="s">
        <v>4625</v>
      </c>
      <c r="O574" s="7" t="s">
        <v>124</v>
      </c>
    </row>
    <row r="575" spans="1:15" x14ac:dyDescent="0.25">
      <c r="A575" s="7" t="s">
        <v>3063</v>
      </c>
      <c r="B575" s="7" t="s">
        <v>18</v>
      </c>
      <c r="C575" s="7" t="s">
        <v>150</v>
      </c>
      <c r="D575" s="7" t="s">
        <v>3062</v>
      </c>
      <c r="E575" s="7" t="s">
        <v>3061</v>
      </c>
      <c r="F575" s="7" t="s">
        <v>176</v>
      </c>
      <c r="G575" s="7" t="s">
        <v>177</v>
      </c>
      <c r="H575" s="7" t="s">
        <v>178</v>
      </c>
      <c r="I575" s="7" t="s">
        <v>1277</v>
      </c>
      <c r="J575" s="209">
        <v>171520</v>
      </c>
      <c r="K575" s="209">
        <v>42880</v>
      </c>
      <c r="L575" s="209">
        <v>0</v>
      </c>
      <c r="M575" s="209">
        <v>214400</v>
      </c>
      <c r="N575" s="7" t="s">
        <v>4625</v>
      </c>
      <c r="O575" s="7" t="s">
        <v>124</v>
      </c>
    </row>
    <row r="576" spans="1:15" x14ac:dyDescent="0.25">
      <c r="A576" s="187" t="s">
        <v>775</v>
      </c>
      <c r="B576" s="61" t="s">
        <v>18</v>
      </c>
      <c r="C576" s="61" t="s">
        <v>150</v>
      </c>
      <c r="D576" s="199" t="s">
        <v>455</v>
      </c>
      <c r="E576" s="199" t="s">
        <v>1012</v>
      </c>
      <c r="F576" s="199" t="s">
        <v>1121</v>
      </c>
      <c r="G576" s="7" t="s">
        <v>2345</v>
      </c>
      <c r="H576" s="199" t="s">
        <v>4751</v>
      </c>
      <c r="I576" s="199" t="s">
        <v>2284</v>
      </c>
      <c r="J576" s="235">
        <v>48599.98</v>
      </c>
      <c r="K576" s="211">
        <v>12150.019999999997</v>
      </c>
      <c r="L576" s="211">
        <v>0</v>
      </c>
      <c r="M576" s="235">
        <v>60750</v>
      </c>
      <c r="N576" s="61" t="s">
        <v>4620</v>
      </c>
      <c r="O576" s="61" t="s">
        <v>124</v>
      </c>
    </row>
    <row r="577" spans="1:15" ht="15.75" x14ac:dyDescent="0.25">
      <c r="A577" s="187" t="s">
        <v>840</v>
      </c>
      <c r="B577" s="61" t="s">
        <v>18</v>
      </c>
      <c r="C577" s="61" t="s">
        <v>150</v>
      </c>
      <c r="D577" s="199" t="s">
        <v>969</v>
      </c>
      <c r="E577" s="199" t="s">
        <v>1062</v>
      </c>
      <c r="F577" s="199" t="s">
        <v>1177</v>
      </c>
      <c r="G577" s="7" t="s">
        <v>2345</v>
      </c>
      <c r="H577" s="10" t="s">
        <v>4728</v>
      </c>
      <c r="I577" s="199" t="s">
        <v>2284</v>
      </c>
      <c r="J577" s="235">
        <v>7247.76</v>
      </c>
      <c r="K577" s="211">
        <v>1812.2399999999998</v>
      </c>
      <c r="L577" s="211">
        <v>0</v>
      </c>
      <c r="M577" s="235">
        <v>9060</v>
      </c>
      <c r="N577" s="61" t="s">
        <v>4616</v>
      </c>
      <c r="O577" s="61" t="s">
        <v>125</v>
      </c>
    </row>
    <row r="578" spans="1:15" x14ac:dyDescent="0.25">
      <c r="A578" s="223" t="s">
        <v>494</v>
      </c>
      <c r="B578" s="224" t="s">
        <v>90</v>
      </c>
      <c r="C578" s="224" t="s">
        <v>150</v>
      </c>
      <c r="D578" s="225" t="s">
        <v>495</v>
      </c>
      <c r="E578" s="224" t="s">
        <v>496</v>
      </c>
      <c r="F578" s="224" t="s">
        <v>497</v>
      </c>
      <c r="G578" s="224" t="s">
        <v>73</v>
      </c>
      <c r="H578" s="224" t="s">
        <v>245</v>
      </c>
      <c r="I578" s="224" t="s">
        <v>224</v>
      </c>
      <c r="J578" s="226"/>
      <c r="K578" s="226"/>
      <c r="L578" s="226">
        <v>5083</v>
      </c>
      <c r="M578" s="226">
        <v>5083</v>
      </c>
      <c r="N578" s="224" t="s">
        <v>4624</v>
      </c>
      <c r="O578" s="224" t="s">
        <v>124</v>
      </c>
    </row>
    <row r="579" spans="1:15" x14ac:dyDescent="0.25">
      <c r="A579" s="223" t="s">
        <v>498</v>
      </c>
      <c r="B579" s="224" t="s">
        <v>90</v>
      </c>
      <c r="C579" s="224" t="s">
        <v>2663</v>
      </c>
      <c r="D579" s="225" t="s">
        <v>499</v>
      </c>
      <c r="E579" s="224" t="s">
        <v>500</v>
      </c>
      <c r="F579" s="224" t="s">
        <v>501</v>
      </c>
      <c r="G579" s="224" t="s">
        <v>212</v>
      </c>
      <c r="H579" s="224" t="s">
        <v>213</v>
      </c>
      <c r="I579" s="224" t="s">
        <v>224</v>
      </c>
      <c r="J579" s="226"/>
      <c r="K579" s="226"/>
      <c r="L579" s="226">
        <v>228597</v>
      </c>
      <c r="M579" s="226">
        <v>228597</v>
      </c>
      <c r="N579" s="224" t="s">
        <v>82</v>
      </c>
      <c r="O579" s="224" t="s">
        <v>214</v>
      </c>
    </row>
    <row r="580" spans="1:15" x14ac:dyDescent="0.25">
      <c r="A580" s="187" t="s">
        <v>849</v>
      </c>
      <c r="B580" s="61" t="s">
        <v>18</v>
      </c>
      <c r="C580" s="61" t="s">
        <v>150</v>
      </c>
      <c r="D580" s="199" t="s">
        <v>163</v>
      </c>
      <c r="E580" s="199" t="s">
        <v>1068</v>
      </c>
      <c r="F580" s="199" t="s">
        <v>41</v>
      </c>
      <c r="G580" s="224" t="s">
        <v>212</v>
      </c>
      <c r="H580" s="199" t="s">
        <v>4747</v>
      </c>
      <c r="I580" s="199" t="s">
        <v>1276</v>
      </c>
      <c r="J580" s="235">
        <v>110207</v>
      </c>
      <c r="K580" s="211">
        <v>12245</v>
      </c>
      <c r="L580" s="211">
        <v>0</v>
      </c>
      <c r="M580" s="235">
        <v>122452</v>
      </c>
      <c r="N580" s="61" t="s">
        <v>624</v>
      </c>
      <c r="O580" s="61" t="s">
        <v>125</v>
      </c>
    </row>
    <row r="581" spans="1:15" x14ac:dyDescent="0.25">
      <c r="A581" s="187" t="s">
        <v>741</v>
      </c>
      <c r="B581" s="61" t="s">
        <v>18</v>
      </c>
      <c r="C581" s="61" t="s">
        <v>150</v>
      </c>
      <c r="D581" s="199" t="s">
        <v>924</v>
      </c>
      <c r="E581" s="199" t="s">
        <v>986</v>
      </c>
      <c r="F581" s="199" t="s">
        <v>1093</v>
      </c>
      <c r="G581" s="7" t="s">
        <v>2345</v>
      </c>
      <c r="H581" s="199" t="s">
        <v>1206</v>
      </c>
      <c r="I581" s="199" t="s">
        <v>2781</v>
      </c>
      <c r="J581" s="235">
        <v>1049</v>
      </c>
      <c r="K581" s="211">
        <v>262</v>
      </c>
      <c r="L581" s="211">
        <v>0</v>
      </c>
      <c r="M581" s="235">
        <v>1311</v>
      </c>
      <c r="N581" s="61" t="s">
        <v>4616</v>
      </c>
      <c r="O581" s="61" t="s">
        <v>125</v>
      </c>
    </row>
    <row r="582" spans="1:15" x14ac:dyDescent="0.25">
      <c r="A582" s="7" t="s">
        <v>4543</v>
      </c>
      <c r="B582" s="7" t="s">
        <v>18</v>
      </c>
      <c r="C582" s="7" t="s">
        <v>150</v>
      </c>
      <c r="D582" s="7" t="s">
        <v>3062</v>
      </c>
      <c r="E582" s="7" t="s">
        <v>4542</v>
      </c>
      <c r="F582" s="7" t="s">
        <v>4541</v>
      </c>
      <c r="G582" s="7" t="s">
        <v>2345</v>
      </c>
      <c r="H582" s="7" t="s">
        <v>4711</v>
      </c>
      <c r="I582" s="7" t="s">
        <v>2781</v>
      </c>
      <c r="J582" s="209">
        <v>913936</v>
      </c>
      <c r="K582" s="209">
        <v>269450.8</v>
      </c>
      <c r="L582" s="209">
        <v>163867.19999999995</v>
      </c>
      <c r="M582" s="209">
        <v>1347254</v>
      </c>
      <c r="N582" s="7" t="s">
        <v>4616</v>
      </c>
      <c r="O582" s="7" t="s">
        <v>124</v>
      </c>
    </row>
    <row r="583" spans="1:15" x14ac:dyDescent="0.25">
      <c r="A583" s="7" t="s">
        <v>4543</v>
      </c>
      <c r="B583" s="7" t="s">
        <v>18</v>
      </c>
      <c r="C583" s="7" t="s">
        <v>150</v>
      </c>
      <c r="D583" s="7" t="s">
        <v>3062</v>
      </c>
      <c r="E583" s="7" t="s">
        <v>4542</v>
      </c>
      <c r="F583" s="7" t="s">
        <v>4541</v>
      </c>
      <c r="G583" s="7" t="s">
        <v>177</v>
      </c>
      <c r="H583" s="7" t="s">
        <v>178</v>
      </c>
      <c r="I583" s="7" t="s">
        <v>2781</v>
      </c>
      <c r="J583" s="209">
        <v>64000</v>
      </c>
      <c r="K583" s="209">
        <v>18109.8</v>
      </c>
      <c r="L583" s="209">
        <v>8439.1999999999971</v>
      </c>
      <c r="M583" s="209">
        <v>90549</v>
      </c>
      <c r="N583" s="7" t="s">
        <v>4616</v>
      </c>
      <c r="O583" s="7" t="s">
        <v>124</v>
      </c>
    </row>
    <row r="584" spans="1:15" ht="15" customHeight="1" x14ac:dyDescent="0.25">
      <c r="A584" s="187" t="s">
        <v>816</v>
      </c>
      <c r="B584" s="61" t="s">
        <v>90</v>
      </c>
      <c r="C584" s="61" t="s">
        <v>150</v>
      </c>
      <c r="D584" s="199" t="s">
        <v>478</v>
      </c>
      <c r="E584" s="199" t="s">
        <v>479</v>
      </c>
      <c r="F584" s="199" t="s">
        <v>1156</v>
      </c>
      <c r="G584" s="7" t="s">
        <v>2345</v>
      </c>
      <c r="H584" s="199" t="s">
        <v>4747</v>
      </c>
      <c r="I584" s="199" t="s">
        <v>1276</v>
      </c>
      <c r="J584" s="235">
        <v>8661.01</v>
      </c>
      <c r="K584" s="211">
        <v>961.98999999999978</v>
      </c>
      <c r="L584" s="211">
        <v>0</v>
      </c>
      <c r="M584" s="235">
        <v>9623</v>
      </c>
      <c r="N584" s="61" t="s">
        <v>624</v>
      </c>
      <c r="O584" s="61" t="s">
        <v>124</v>
      </c>
    </row>
    <row r="585" spans="1:15" x14ac:dyDescent="0.25">
      <c r="A585" s="7" t="s">
        <v>2594</v>
      </c>
      <c r="B585" s="7" t="s">
        <v>18</v>
      </c>
      <c r="C585" s="7" t="s">
        <v>150</v>
      </c>
      <c r="D585" s="7" t="s">
        <v>2593</v>
      </c>
      <c r="E585" s="7" t="s">
        <v>2592</v>
      </c>
      <c r="F585" s="7" t="s">
        <v>2591</v>
      </c>
      <c r="G585" s="7" t="s">
        <v>2345</v>
      </c>
      <c r="H585" s="7" t="s">
        <v>1195</v>
      </c>
      <c r="I585" s="7" t="s">
        <v>1277</v>
      </c>
      <c r="J585" s="209">
        <v>705600</v>
      </c>
      <c r="K585" s="209">
        <v>176400</v>
      </c>
      <c r="L585" s="209">
        <v>0</v>
      </c>
      <c r="M585" s="209">
        <v>882000</v>
      </c>
      <c r="N585" s="7" t="s">
        <v>4625</v>
      </c>
      <c r="O585" s="7" t="s">
        <v>124</v>
      </c>
    </row>
    <row r="586" spans="1:15" x14ac:dyDescent="0.25">
      <c r="A586" s="7" t="s">
        <v>2594</v>
      </c>
      <c r="B586" s="7" t="s">
        <v>18</v>
      </c>
      <c r="C586" s="7" t="s">
        <v>150</v>
      </c>
      <c r="D586" s="7" t="s">
        <v>2593</v>
      </c>
      <c r="E586" s="7" t="s">
        <v>2592</v>
      </c>
      <c r="F586" s="7" t="s">
        <v>2591</v>
      </c>
      <c r="G586" s="7" t="s">
        <v>177</v>
      </c>
      <c r="H586" s="7" t="s">
        <v>178</v>
      </c>
      <c r="I586" s="7" t="s">
        <v>1277</v>
      </c>
      <c r="J586" s="209">
        <v>91840</v>
      </c>
      <c r="K586" s="209">
        <v>22960</v>
      </c>
      <c r="L586" s="209">
        <v>0</v>
      </c>
      <c r="M586" s="209">
        <v>114800</v>
      </c>
      <c r="N586" s="7" t="s">
        <v>4625</v>
      </c>
      <c r="O586" s="7" t="s">
        <v>124</v>
      </c>
    </row>
    <row r="587" spans="1:15" x14ac:dyDescent="0.25">
      <c r="A587" s="7" t="s">
        <v>2594</v>
      </c>
      <c r="B587" s="7" t="s">
        <v>18</v>
      </c>
      <c r="C587" s="7" t="s">
        <v>150</v>
      </c>
      <c r="D587" s="7" t="s">
        <v>2593</v>
      </c>
      <c r="E587" s="7" t="s">
        <v>3472</v>
      </c>
      <c r="F587" s="7" t="s">
        <v>3471</v>
      </c>
      <c r="G587" s="224" t="s">
        <v>212</v>
      </c>
      <c r="H587" s="7" t="s">
        <v>213</v>
      </c>
      <c r="I587" s="7" t="s">
        <v>1277</v>
      </c>
      <c r="J587" s="209">
        <v>77288</v>
      </c>
      <c r="K587" s="209">
        <v>19322</v>
      </c>
      <c r="L587" s="209">
        <v>0</v>
      </c>
      <c r="M587" s="209">
        <v>96610</v>
      </c>
      <c r="N587" s="7" t="s">
        <v>4625</v>
      </c>
      <c r="O587" s="7" t="s">
        <v>124</v>
      </c>
    </row>
    <row r="588" spans="1:15" x14ac:dyDescent="0.25">
      <c r="A588" s="7" t="s">
        <v>3473</v>
      </c>
      <c r="B588" s="7" t="s">
        <v>18</v>
      </c>
      <c r="C588" s="7" t="s">
        <v>150</v>
      </c>
      <c r="D588" s="7" t="s">
        <v>163</v>
      </c>
      <c r="E588" s="7" t="s">
        <v>3472</v>
      </c>
      <c r="F588" s="7" t="s">
        <v>3471</v>
      </c>
      <c r="G588" s="7" t="s">
        <v>2345</v>
      </c>
      <c r="H588" s="7" t="s">
        <v>651</v>
      </c>
      <c r="I588" s="7" t="s">
        <v>1277</v>
      </c>
      <c r="J588" s="209">
        <v>492061</v>
      </c>
      <c r="K588" s="209">
        <v>123015.20000000001</v>
      </c>
      <c r="L588" s="209">
        <v>0</v>
      </c>
      <c r="M588" s="209">
        <v>615076</v>
      </c>
      <c r="N588" s="7" t="s">
        <v>4625</v>
      </c>
      <c r="O588" s="7" t="s">
        <v>124</v>
      </c>
    </row>
    <row r="589" spans="1:15" x14ac:dyDescent="0.25">
      <c r="A589" s="7" t="s">
        <v>3473</v>
      </c>
      <c r="B589" s="7" t="s">
        <v>18</v>
      </c>
      <c r="C589" s="7" t="s">
        <v>150</v>
      </c>
      <c r="D589" s="7" t="s">
        <v>163</v>
      </c>
      <c r="E589" s="7" t="s">
        <v>3472</v>
      </c>
      <c r="F589" s="7" t="s">
        <v>3471</v>
      </c>
      <c r="G589" s="7" t="s">
        <v>177</v>
      </c>
      <c r="H589" s="7" t="s">
        <v>178</v>
      </c>
      <c r="I589" s="7" t="s">
        <v>1277</v>
      </c>
      <c r="J589" s="209">
        <v>74400</v>
      </c>
      <c r="K589" s="209">
        <v>18600</v>
      </c>
      <c r="L589" s="209">
        <v>0</v>
      </c>
      <c r="M589" s="209">
        <v>93000</v>
      </c>
      <c r="N589" s="7" t="s">
        <v>4625</v>
      </c>
      <c r="O589" s="7" t="s">
        <v>124</v>
      </c>
    </row>
    <row r="590" spans="1:15" x14ac:dyDescent="0.25">
      <c r="A590" s="187" t="s">
        <v>780</v>
      </c>
      <c r="B590" s="61" t="s">
        <v>18</v>
      </c>
      <c r="C590" s="61" t="s">
        <v>150</v>
      </c>
      <c r="D590" s="199" t="s">
        <v>455</v>
      </c>
      <c r="E590" s="199" t="s">
        <v>1017</v>
      </c>
      <c r="F590" s="199" t="s">
        <v>4668</v>
      </c>
      <c r="G590" s="7" t="s">
        <v>2345</v>
      </c>
      <c r="H590" s="199" t="s">
        <v>4734</v>
      </c>
      <c r="I590" s="199" t="s">
        <v>2284</v>
      </c>
      <c r="J590" s="235">
        <v>1586000</v>
      </c>
      <c r="K590" s="211">
        <v>1057333</v>
      </c>
      <c r="L590" s="211">
        <v>0</v>
      </c>
      <c r="M590" s="235">
        <v>2643333</v>
      </c>
      <c r="N590" s="7" t="s">
        <v>2286</v>
      </c>
      <c r="O590" s="61" t="s">
        <v>124</v>
      </c>
    </row>
    <row r="591" spans="1:15" x14ac:dyDescent="0.25">
      <c r="A591" s="7" t="s">
        <v>3806</v>
      </c>
      <c r="B591" s="7" t="s">
        <v>18</v>
      </c>
      <c r="C591" s="7" t="s">
        <v>150</v>
      </c>
      <c r="D591" s="7" t="s">
        <v>250</v>
      </c>
      <c r="E591" s="7" t="s">
        <v>3805</v>
      </c>
      <c r="F591" s="7" t="s">
        <v>3804</v>
      </c>
      <c r="G591" s="7" t="s">
        <v>2345</v>
      </c>
      <c r="H591" s="7" t="s">
        <v>74</v>
      </c>
      <c r="I591" s="7" t="s">
        <v>2581</v>
      </c>
      <c r="J591" s="209">
        <v>149976</v>
      </c>
      <c r="K591" s="209">
        <v>49992</v>
      </c>
      <c r="L591" s="209">
        <v>0</v>
      </c>
      <c r="M591" s="209">
        <v>199968</v>
      </c>
      <c r="N591" s="7" t="s">
        <v>225</v>
      </c>
      <c r="O591" s="7" t="s">
        <v>125</v>
      </c>
    </row>
    <row r="592" spans="1:15" x14ac:dyDescent="0.25">
      <c r="A592" s="7" t="s">
        <v>3806</v>
      </c>
      <c r="B592" s="7" t="s">
        <v>18</v>
      </c>
      <c r="C592" s="7" t="s">
        <v>150</v>
      </c>
      <c r="D592" s="7" t="s">
        <v>250</v>
      </c>
      <c r="E592" s="7" t="s">
        <v>3805</v>
      </c>
      <c r="F592" s="7" t="s">
        <v>3804</v>
      </c>
      <c r="G592" s="7" t="s">
        <v>177</v>
      </c>
      <c r="H592" s="7" t="s">
        <v>178</v>
      </c>
      <c r="I592" s="7" t="s">
        <v>2581</v>
      </c>
      <c r="J592" s="209">
        <v>37500</v>
      </c>
      <c r="K592" s="209">
        <v>12500</v>
      </c>
      <c r="L592" s="209">
        <v>0</v>
      </c>
      <c r="M592" s="209">
        <v>50000</v>
      </c>
      <c r="N592" s="7" t="s">
        <v>225</v>
      </c>
      <c r="O592" s="7" t="s">
        <v>125</v>
      </c>
    </row>
    <row r="593" spans="1:15" x14ac:dyDescent="0.25">
      <c r="A593" s="7" t="s">
        <v>3823</v>
      </c>
      <c r="B593" s="7" t="s">
        <v>18</v>
      </c>
      <c r="C593" s="7" t="s">
        <v>150</v>
      </c>
      <c r="D593" s="7" t="s">
        <v>3822</v>
      </c>
      <c r="E593" s="7" t="s">
        <v>3821</v>
      </c>
      <c r="F593" s="7" t="s">
        <v>3820</v>
      </c>
      <c r="G593" s="7" t="s">
        <v>2345</v>
      </c>
      <c r="H593" s="7" t="s">
        <v>74</v>
      </c>
      <c r="I593" s="7" t="s">
        <v>2581</v>
      </c>
      <c r="J593" s="209">
        <v>250515</v>
      </c>
      <c r="K593" s="209">
        <v>83505</v>
      </c>
      <c r="L593" s="209">
        <v>0</v>
      </c>
      <c r="M593" s="209">
        <v>334020</v>
      </c>
      <c r="N593" s="7" t="s">
        <v>225</v>
      </c>
      <c r="O593" s="7" t="s">
        <v>125</v>
      </c>
    </row>
    <row r="594" spans="1:15" x14ac:dyDescent="0.25">
      <c r="A594" s="7" t="s">
        <v>3823</v>
      </c>
      <c r="B594" s="7" t="s">
        <v>18</v>
      </c>
      <c r="C594" s="7" t="s">
        <v>150</v>
      </c>
      <c r="D594" s="7" t="s">
        <v>3822</v>
      </c>
      <c r="E594" s="7" t="s">
        <v>3821</v>
      </c>
      <c r="F594" s="7" t="s">
        <v>3820</v>
      </c>
      <c r="G594" s="7" t="s">
        <v>177</v>
      </c>
      <c r="H594" s="7" t="s">
        <v>178</v>
      </c>
      <c r="I594" s="7" t="s">
        <v>2581</v>
      </c>
      <c r="J594" s="209">
        <v>34500</v>
      </c>
      <c r="K594" s="209">
        <v>11500</v>
      </c>
      <c r="L594" s="209">
        <v>0</v>
      </c>
      <c r="M594" s="209">
        <v>46000</v>
      </c>
      <c r="N594" s="7" t="s">
        <v>225</v>
      </c>
      <c r="O594" s="7" t="s">
        <v>125</v>
      </c>
    </row>
    <row r="595" spans="1:15" x14ac:dyDescent="0.25">
      <c r="A595" s="7" t="s">
        <v>3548</v>
      </c>
      <c r="B595" s="7" t="s">
        <v>18</v>
      </c>
      <c r="C595" s="7" t="s">
        <v>150</v>
      </c>
      <c r="D595" s="7" t="s">
        <v>163</v>
      </c>
      <c r="E595" s="7" t="s">
        <v>3547</v>
      </c>
      <c r="F595" s="7" t="s">
        <v>3546</v>
      </c>
      <c r="G595" s="224" t="s">
        <v>212</v>
      </c>
      <c r="H595" s="7" t="s">
        <v>213</v>
      </c>
      <c r="I595" s="7" t="s">
        <v>1277</v>
      </c>
      <c r="J595" s="209">
        <v>48434</v>
      </c>
      <c r="K595" s="209">
        <v>12108.5</v>
      </c>
      <c r="L595" s="209">
        <v>0</v>
      </c>
      <c r="M595" s="209">
        <v>60542</v>
      </c>
      <c r="N595" s="7" t="s">
        <v>4625</v>
      </c>
      <c r="O595" s="7" t="s">
        <v>125</v>
      </c>
    </row>
    <row r="596" spans="1:15" x14ac:dyDescent="0.25">
      <c r="A596" s="7" t="s">
        <v>2970</v>
      </c>
      <c r="B596" s="7" t="s">
        <v>90</v>
      </c>
      <c r="C596" s="7" t="s">
        <v>150</v>
      </c>
      <c r="D596" s="7" t="s">
        <v>149</v>
      </c>
      <c r="E596" s="7" t="s">
        <v>1026</v>
      </c>
      <c r="F596" s="7" t="s">
        <v>2969</v>
      </c>
      <c r="G596" s="7" t="s">
        <v>177</v>
      </c>
      <c r="H596" s="7" t="s">
        <v>178</v>
      </c>
      <c r="I596" s="7" t="s">
        <v>2968</v>
      </c>
      <c r="J596" s="209">
        <v>48000</v>
      </c>
      <c r="K596" s="209">
        <v>12000</v>
      </c>
      <c r="L596" s="209">
        <v>0</v>
      </c>
      <c r="M596" s="209">
        <v>60000</v>
      </c>
      <c r="N596" s="7" t="s">
        <v>4625</v>
      </c>
      <c r="O596" s="7" t="s">
        <v>124</v>
      </c>
    </row>
    <row r="597" spans="1:15" x14ac:dyDescent="0.25">
      <c r="A597" s="7" t="s">
        <v>2970</v>
      </c>
      <c r="B597" s="7" t="s">
        <v>90</v>
      </c>
      <c r="C597" s="7" t="s">
        <v>150</v>
      </c>
      <c r="D597" s="7" t="s">
        <v>149</v>
      </c>
      <c r="E597" s="7" t="s">
        <v>1026</v>
      </c>
      <c r="F597" s="7" t="s">
        <v>2969</v>
      </c>
      <c r="G597" s="7" t="s">
        <v>2345</v>
      </c>
      <c r="H597" s="7" t="s">
        <v>179</v>
      </c>
      <c r="I597" s="7" t="s">
        <v>2968</v>
      </c>
      <c r="J597" s="209">
        <v>432000</v>
      </c>
      <c r="K597" s="209">
        <v>108000</v>
      </c>
      <c r="L597" s="209">
        <v>0</v>
      </c>
      <c r="M597" s="209">
        <v>540000</v>
      </c>
      <c r="N597" s="7" t="s">
        <v>4625</v>
      </c>
      <c r="O597" s="7" t="s">
        <v>124</v>
      </c>
    </row>
    <row r="598" spans="1:15" x14ac:dyDescent="0.25">
      <c r="A598" s="7" t="s">
        <v>3994</v>
      </c>
      <c r="B598" s="7" t="s">
        <v>90</v>
      </c>
      <c r="C598" s="7" t="s">
        <v>150</v>
      </c>
      <c r="D598" s="7" t="s">
        <v>250</v>
      </c>
      <c r="E598" s="7" t="s">
        <v>3993</v>
      </c>
      <c r="F598" s="7" t="s">
        <v>3992</v>
      </c>
      <c r="G598" s="7" t="s">
        <v>177</v>
      </c>
      <c r="H598" s="7" t="s">
        <v>178</v>
      </c>
      <c r="I598" s="7" t="s">
        <v>1276</v>
      </c>
      <c r="J598" s="209">
        <v>348750</v>
      </c>
      <c r="K598" s="209">
        <v>38750</v>
      </c>
      <c r="L598" s="209">
        <v>0</v>
      </c>
      <c r="M598" s="209">
        <v>387500</v>
      </c>
      <c r="N598" s="7" t="s">
        <v>624</v>
      </c>
      <c r="O598" s="7" t="s">
        <v>124</v>
      </c>
    </row>
    <row r="599" spans="1:15" x14ac:dyDescent="0.25">
      <c r="A599" s="7" t="s">
        <v>3994</v>
      </c>
      <c r="B599" s="7" t="s">
        <v>90</v>
      </c>
      <c r="C599" s="7" t="s">
        <v>150</v>
      </c>
      <c r="D599" s="7" t="s">
        <v>250</v>
      </c>
      <c r="E599" s="7" t="s">
        <v>3993</v>
      </c>
      <c r="F599" s="7" t="s">
        <v>3992</v>
      </c>
      <c r="G599" s="7" t="s">
        <v>2345</v>
      </c>
      <c r="H599" s="7" t="s">
        <v>3991</v>
      </c>
      <c r="I599" s="7" t="s">
        <v>1276</v>
      </c>
      <c r="J599" s="209">
        <v>3138750</v>
      </c>
      <c r="K599" s="209">
        <v>348750</v>
      </c>
      <c r="L599" s="209">
        <v>0</v>
      </c>
      <c r="M599" s="209">
        <v>3487500</v>
      </c>
      <c r="N599" s="7" t="s">
        <v>624</v>
      </c>
      <c r="O599" s="7" t="s">
        <v>124</v>
      </c>
    </row>
    <row r="600" spans="1:15" x14ac:dyDescent="0.25">
      <c r="A600" s="7" t="s">
        <v>4383</v>
      </c>
      <c r="B600" s="7" t="s">
        <v>18</v>
      </c>
      <c r="C600" s="7" t="s">
        <v>150</v>
      </c>
      <c r="D600" s="7" t="s">
        <v>969</v>
      </c>
      <c r="E600" s="7" t="s">
        <v>4382</v>
      </c>
      <c r="F600" s="7" t="s">
        <v>4381</v>
      </c>
      <c r="G600" s="7" t="s">
        <v>2345</v>
      </c>
      <c r="H600" s="7" t="s">
        <v>4724</v>
      </c>
      <c r="I600" s="7" t="s">
        <v>1278</v>
      </c>
      <c r="J600" s="209">
        <v>11513.2</v>
      </c>
      <c r="K600" s="209">
        <v>2878.3</v>
      </c>
      <c r="L600" s="209">
        <v>0</v>
      </c>
      <c r="M600" s="209">
        <v>14391.5</v>
      </c>
      <c r="N600" s="7" t="s">
        <v>4623</v>
      </c>
      <c r="O600" s="7" t="s">
        <v>124</v>
      </c>
    </row>
    <row r="601" spans="1:15" x14ac:dyDescent="0.25">
      <c r="A601" s="7" t="s">
        <v>4107</v>
      </c>
      <c r="B601" s="7" t="s">
        <v>18</v>
      </c>
      <c r="C601" s="7" t="s">
        <v>150</v>
      </c>
      <c r="D601" s="7" t="s">
        <v>242</v>
      </c>
      <c r="E601" s="7" t="s">
        <v>4106</v>
      </c>
      <c r="F601" s="7" t="s">
        <v>4105</v>
      </c>
      <c r="G601" s="7" t="s">
        <v>2345</v>
      </c>
      <c r="H601" s="7" t="s">
        <v>74</v>
      </c>
      <c r="I601" s="7" t="s">
        <v>2581</v>
      </c>
      <c r="J601" s="209">
        <v>338138</v>
      </c>
      <c r="K601" s="209">
        <v>112712.5</v>
      </c>
      <c r="L601" s="209">
        <v>0</v>
      </c>
      <c r="M601" s="209">
        <v>450850</v>
      </c>
      <c r="N601" s="7" t="s">
        <v>225</v>
      </c>
      <c r="O601" s="7" t="s">
        <v>125</v>
      </c>
    </row>
    <row r="602" spans="1:15" x14ac:dyDescent="0.25">
      <c r="A602" s="7" t="s">
        <v>4107</v>
      </c>
      <c r="B602" s="7" t="s">
        <v>18</v>
      </c>
      <c r="C602" s="7" t="s">
        <v>150</v>
      </c>
      <c r="D602" s="7" t="s">
        <v>242</v>
      </c>
      <c r="E602" s="7" t="s">
        <v>4106</v>
      </c>
      <c r="F602" s="7" t="s">
        <v>4105</v>
      </c>
      <c r="G602" s="7" t="s">
        <v>177</v>
      </c>
      <c r="H602" s="7" t="s">
        <v>178</v>
      </c>
      <c r="I602" s="7" t="s">
        <v>2581</v>
      </c>
      <c r="J602" s="209">
        <v>41397</v>
      </c>
      <c r="K602" s="209">
        <v>14576.5</v>
      </c>
      <c r="L602" s="209">
        <v>2332.5</v>
      </c>
      <c r="M602" s="209">
        <v>58306</v>
      </c>
      <c r="N602" s="7" t="s">
        <v>225</v>
      </c>
      <c r="O602" s="7" t="s">
        <v>125</v>
      </c>
    </row>
    <row r="603" spans="1:15" x14ac:dyDescent="0.25">
      <c r="A603" s="7" t="s">
        <v>4074</v>
      </c>
      <c r="B603" s="7" t="s">
        <v>18</v>
      </c>
      <c r="C603" s="7" t="s">
        <v>150</v>
      </c>
      <c r="D603" s="7" t="s">
        <v>492</v>
      </c>
      <c r="E603" s="7" t="s">
        <v>4073</v>
      </c>
      <c r="F603" s="7" t="s">
        <v>4072</v>
      </c>
      <c r="G603" s="7" t="s">
        <v>2345</v>
      </c>
      <c r="H603" s="7" t="s">
        <v>74</v>
      </c>
      <c r="I603" s="7" t="s">
        <v>2581</v>
      </c>
      <c r="J603" s="209">
        <v>276936</v>
      </c>
      <c r="K603" s="209">
        <v>92312.25</v>
      </c>
      <c r="L603" s="209">
        <v>0</v>
      </c>
      <c r="M603" s="209">
        <v>369249</v>
      </c>
      <c r="N603" s="7" t="s">
        <v>225</v>
      </c>
      <c r="O603" s="7" t="s">
        <v>125</v>
      </c>
    </row>
    <row r="604" spans="1:15" x14ac:dyDescent="0.25">
      <c r="A604" s="7" t="s">
        <v>4074</v>
      </c>
      <c r="B604" s="7" t="s">
        <v>18</v>
      </c>
      <c r="C604" s="7" t="s">
        <v>150</v>
      </c>
      <c r="D604" s="7" t="s">
        <v>492</v>
      </c>
      <c r="E604" s="7" t="s">
        <v>4073</v>
      </c>
      <c r="F604" s="7" t="s">
        <v>4072</v>
      </c>
      <c r="G604" s="7" t="s">
        <v>177</v>
      </c>
      <c r="H604" s="7" t="s">
        <v>178</v>
      </c>
      <c r="I604" s="7" t="s">
        <v>2581</v>
      </c>
      <c r="J604" s="209">
        <v>24000</v>
      </c>
      <c r="K604" s="209">
        <v>8000</v>
      </c>
      <c r="L604" s="209">
        <v>0</v>
      </c>
      <c r="M604" s="209">
        <v>32000</v>
      </c>
      <c r="N604" s="7" t="s">
        <v>225</v>
      </c>
      <c r="O604" s="7" t="s">
        <v>125</v>
      </c>
    </row>
    <row r="605" spans="1:15" x14ac:dyDescent="0.25">
      <c r="A605" s="7" t="s">
        <v>4067</v>
      </c>
      <c r="B605" s="7" t="s">
        <v>18</v>
      </c>
      <c r="C605" s="7" t="s">
        <v>150</v>
      </c>
      <c r="D605" s="7" t="s">
        <v>4066</v>
      </c>
      <c r="E605" s="7" t="s">
        <v>4065</v>
      </c>
      <c r="F605" s="7" t="s">
        <v>4064</v>
      </c>
      <c r="G605" s="7" t="s">
        <v>2345</v>
      </c>
      <c r="H605" s="7" t="s">
        <v>74</v>
      </c>
      <c r="I605" s="7" t="s">
        <v>2581</v>
      </c>
      <c r="J605" s="209">
        <v>363003</v>
      </c>
      <c r="K605" s="209">
        <v>121000.75</v>
      </c>
      <c r="L605" s="209">
        <v>0</v>
      </c>
      <c r="M605" s="209">
        <v>484003</v>
      </c>
      <c r="N605" s="7" t="s">
        <v>225</v>
      </c>
      <c r="O605" s="7" t="s">
        <v>125</v>
      </c>
    </row>
    <row r="606" spans="1:15" x14ac:dyDescent="0.25">
      <c r="A606" s="7" t="s">
        <v>4067</v>
      </c>
      <c r="B606" s="7" t="s">
        <v>18</v>
      </c>
      <c r="C606" s="7" t="s">
        <v>150</v>
      </c>
      <c r="D606" s="7" t="s">
        <v>4066</v>
      </c>
      <c r="E606" s="7" t="s">
        <v>4065</v>
      </c>
      <c r="F606" s="7" t="s">
        <v>4064</v>
      </c>
      <c r="G606" s="7" t="s">
        <v>177</v>
      </c>
      <c r="H606" s="7" t="s">
        <v>178</v>
      </c>
      <c r="I606" s="7" t="s">
        <v>2581</v>
      </c>
      <c r="J606" s="209">
        <v>50000</v>
      </c>
      <c r="K606" s="209">
        <v>19998.5</v>
      </c>
      <c r="L606" s="209">
        <v>9995.5</v>
      </c>
      <c r="M606" s="209">
        <v>79994</v>
      </c>
      <c r="N606" s="7" t="s">
        <v>225</v>
      </c>
      <c r="O606" s="7" t="s">
        <v>125</v>
      </c>
    </row>
    <row r="607" spans="1:15" x14ac:dyDescent="0.25">
      <c r="A607" s="187" t="s">
        <v>502</v>
      </c>
      <c r="B607" s="61" t="s">
        <v>90</v>
      </c>
      <c r="C607" s="61" t="s">
        <v>150</v>
      </c>
      <c r="D607" s="199" t="s">
        <v>163</v>
      </c>
      <c r="E607" s="199" t="s">
        <v>479</v>
      </c>
      <c r="F607" s="199" t="s">
        <v>503</v>
      </c>
      <c r="G607" s="7" t="s">
        <v>2345</v>
      </c>
      <c r="H607" s="199" t="s">
        <v>1209</v>
      </c>
      <c r="I607" s="199" t="s">
        <v>1275</v>
      </c>
      <c r="J607" s="235">
        <v>303205</v>
      </c>
      <c r="K607" s="211">
        <v>75801</v>
      </c>
      <c r="L607" s="211">
        <v>0</v>
      </c>
      <c r="M607" s="235">
        <v>379006</v>
      </c>
      <c r="N607" s="61" t="s">
        <v>4624</v>
      </c>
      <c r="O607" s="61" t="s">
        <v>124</v>
      </c>
    </row>
    <row r="608" spans="1:15" x14ac:dyDescent="0.25">
      <c r="A608" s="223" t="s">
        <v>502</v>
      </c>
      <c r="B608" s="224" t="s">
        <v>90</v>
      </c>
      <c r="C608" s="224" t="s">
        <v>150</v>
      </c>
      <c r="D608" s="225" t="s">
        <v>163</v>
      </c>
      <c r="E608" s="224" t="s">
        <v>479</v>
      </c>
      <c r="F608" s="224" t="s">
        <v>503</v>
      </c>
      <c r="G608" s="224" t="s">
        <v>177</v>
      </c>
      <c r="H608" s="224" t="s">
        <v>178</v>
      </c>
      <c r="I608" s="224" t="s">
        <v>224</v>
      </c>
      <c r="J608" s="226"/>
      <c r="K608" s="226"/>
      <c r="L608" s="226">
        <v>797555</v>
      </c>
      <c r="M608" s="226">
        <v>797555</v>
      </c>
      <c r="N608" s="224" t="s">
        <v>4624</v>
      </c>
      <c r="O608" s="224" t="s">
        <v>124</v>
      </c>
    </row>
    <row r="609" spans="1:15" x14ac:dyDescent="0.25">
      <c r="A609" s="7" t="s">
        <v>4362</v>
      </c>
      <c r="B609" s="7" t="s">
        <v>18</v>
      </c>
      <c r="C609" s="7" t="s">
        <v>150</v>
      </c>
      <c r="D609" s="7" t="s">
        <v>455</v>
      </c>
      <c r="E609" s="7" t="s">
        <v>4361</v>
      </c>
      <c r="F609" s="7" t="s">
        <v>4360</v>
      </c>
      <c r="G609" s="7" t="s">
        <v>117</v>
      </c>
      <c r="H609" s="7" t="s">
        <v>119</v>
      </c>
      <c r="I609" s="7" t="s">
        <v>1277</v>
      </c>
      <c r="J609" s="209">
        <v>107867</v>
      </c>
      <c r="K609" s="209">
        <v>26966.800000000003</v>
      </c>
      <c r="L609" s="209">
        <v>0</v>
      </c>
      <c r="M609" s="209">
        <v>134834</v>
      </c>
      <c r="N609" s="7" t="s">
        <v>4625</v>
      </c>
      <c r="O609" s="7" t="s">
        <v>124</v>
      </c>
    </row>
    <row r="610" spans="1:15" x14ac:dyDescent="0.25">
      <c r="A610" s="7" t="s">
        <v>2803</v>
      </c>
      <c r="B610" s="7" t="s">
        <v>18</v>
      </c>
      <c r="C610" s="7" t="s">
        <v>150</v>
      </c>
      <c r="D610" s="7" t="s">
        <v>970</v>
      </c>
      <c r="E610" s="7" t="s">
        <v>2802</v>
      </c>
      <c r="F610" s="7" t="s">
        <v>2801</v>
      </c>
      <c r="G610" s="7" t="s">
        <v>2345</v>
      </c>
      <c r="H610" s="7" t="s">
        <v>74</v>
      </c>
      <c r="I610" s="7" t="s">
        <v>2581</v>
      </c>
      <c r="J610" s="209">
        <v>502400</v>
      </c>
      <c r="K610" s="209">
        <v>125600</v>
      </c>
      <c r="L610" s="209">
        <v>0</v>
      </c>
      <c r="M610" s="209">
        <v>628000</v>
      </c>
      <c r="N610" s="7" t="s">
        <v>225</v>
      </c>
      <c r="O610" s="7" t="s">
        <v>125</v>
      </c>
    </row>
    <row r="611" spans="1:15" x14ac:dyDescent="0.25">
      <c r="A611" s="7" t="s">
        <v>2912</v>
      </c>
      <c r="B611" s="7" t="s">
        <v>18</v>
      </c>
      <c r="C611" s="7" t="s">
        <v>150</v>
      </c>
      <c r="D611" s="7" t="s">
        <v>482</v>
      </c>
      <c r="E611" s="7" t="s">
        <v>2911</v>
      </c>
      <c r="F611" s="7" t="s">
        <v>2910</v>
      </c>
      <c r="G611" s="7" t="s">
        <v>2345</v>
      </c>
      <c r="H611" s="7" t="s">
        <v>74</v>
      </c>
      <c r="I611" s="7" t="s">
        <v>2581</v>
      </c>
      <c r="J611" s="209">
        <v>118298</v>
      </c>
      <c r="K611" s="209">
        <v>39432.5</v>
      </c>
      <c r="L611" s="209">
        <v>0</v>
      </c>
      <c r="M611" s="209">
        <v>157730</v>
      </c>
      <c r="N611" s="7" t="s">
        <v>225</v>
      </c>
      <c r="O611" s="7" t="s">
        <v>125</v>
      </c>
    </row>
    <row r="612" spans="1:15" x14ac:dyDescent="0.25">
      <c r="A612" s="7" t="s">
        <v>2912</v>
      </c>
      <c r="B612" s="7" t="s">
        <v>18</v>
      </c>
      <c r="C612" s="7" t="s">
        <v>150</v>
      </c>
      <c r="D612" s="7" t="s">
        <v>482</v>
      </c>
      <c r="E612" s="7" t="s">
        <v>2911</v>
      </c>
      <c r="F612" s="7" t="s">
        <v>2910</v>
      </c>
      <c r="G612" s="7" t="s">
        <v>177</v>
      </c>
      <c r="H612" s="7" t="s">
        <v>178</v>
      </c>
      <c r="I612" s="7" t="s">
        <v>2581</v>
      </c>
      <c r="J612" s="209">
        <v>24375</v>
      </c>
      <c r="K612" s="209">
        <v>8125</v>
      </c>
      <c r="L612" s="209">
        <v>0</v>
      </c>
      <c r="M612" s="209">
        <v>32500</v>
      </c>
      <c r="N612" s="7" t="s">
        <v>225</v>
      </c>
      <c r="O612" s="7" t="s">
        <v>125</v>
      </c>
    </row>
    <row r="613" spans="1:15" x14ac:dyDescent="0.25">
      <c r="A613" s="7" t="s">
        <v>3796</v>
      </c>
      <c r="B613" s="7" t="s">
        <v>18</v>
      </c>
      <c r="C613" s="7" t="s">
        <v>150</v>
      </c>
      <c r="D613" s="7" t="s">
        <v>163</v>
      </c>
      <c r="E613" s="7" t="s">
        <v>3795</v>
      </c>
      <c r="F613" s="7" t="s">
        <v>3794</v>
      </c>
      <c r="G613" s="224" t="s">
        <v>212</v>
      </c>
      <c r="H613" s="7" t="s">
        <v>213</v>
      </c>
      <c r="I613" s="7" t="s">
        <v>2715</v>
      </c>
      <c r="J613" s="209">
        <v>108938</v>
      </c>
      <c r="K613" s="209">
        <v>27234.5</v>
      </c>
      <c r="L613" s="209">
        <v>0</v>
      </c>
      <c r="M613" s="209">
        <v>136173</v>
      </c>
      <c r="N613" s="7" t="s">
        <v>4616</v>
      </c>
      <c r="O613" s="7" t="s">
        <v>126</v>
      </c>
    </row>
    <row r="614" spans="1:15" x14ac:dyDescent="0.25">
      <c r="A614" s="7" t="s">
        <v>3888</v>
      </c>
      <c r="B614" s="7" t="s">
        <v>18</v>
      </c>
      <c r="C614" s="7" t="s">
        <v>150</v>
      </c>
      <c r="D614" s="7" t="s">
        <v>928</v>
      </c>
      <c r="E614" s="7" t="s">
        <v>3887</v>
      </c>
      <c r="F614" s="7" t="s">
        <v>3886</v>
      </c>
      <c r="G614" s="7" t="s">
        <v>2345</v>
      </c>
      <c r="H614" s="7" t="s">
        <v>74</v>
      </c>
      <c r="I614" s="7" t="s">
        <v>2581</v>
      </c>
      <c r="J614" s="209">
        <v>192943</v>
      </c>
      <c r="K614" s="209">
        <v>65200</v>
      </c>
      <c r="L614" s="209">
        <v>67857</v>
      </c>
      <c r="M614" s="209">
        <v>326000</v>
      </c>
      <c r="N614" s="7" t="s">
        <v>225</v>
      </c>
      <c r="O614" s="7" t="s">
        <v>125</v>
      </c>
    </row>
    <row r="615" spans="1:15" x14ac:dyDescent="0.25">
      <c r="A615" s="7" t="s">
        <v>3888</v>
      </c>
      <c r="B615" s="7" t="s">
        <v>18</v>
      </c>
      <c r="C615" s="7" t="s">
        <v>150</v>
      </c>
      <c r="D615" s="7" t="s">
        <v>928</v>
      </c>
      <c r="E615" s="7" t="s">
        <v>3887</v>
      </c>
      <c r="F615" s="7" t="s">
        <v>3886</v>
      </c>
      <c r="G615" s="7" t="s">
        <v>177</v>
      </c>
      <c r="H615" s="7" t="s">
        <v>178</v>
      </c>
      <c r="I615" s="7" t="s">
        <v>2581</v>
      </c>
      <c r="J615" s="209">
        <v>29400</v>
      </c>
      <c r="K615" s="209">
        <v>7840</v>
      </c>
      <c r="L615" s="209">
        <v>1960</v>
      </c>
      <c r="M615" s="209">
        <v>39200</v>
      </c>
      <c r="N615" s="7" t="s">
        <v>225</v>
      </c>
      <c r="O615" s="7" t="s">
        <v>125</v>
      </c>
    </row>
    <row r="616" spans="1:15" x14ac:dyDescent="0.25">
      <c r="A616" s="7" t="s">
        <v>3354</v>
      </c>
      <c r="B616" s="7" t="s">
        <v>18</v>
      </c>
      <c r="C616" s="7" t="s">
        <v>150</v>
      </c>
      <c r="D616" s="7" t="s">
        <v>163</v>
      </c>
      <c r="E616" s="7" t="s">
        <v>41</v>
      </c>
      <c r="F616" s="7" t="s">
        <v>3353</v>
      </c>
      <c r="G616" s="7" t="s">
        <v>2345</v>
      </c>
      <c r="H616" s="7" t="s">
        <v>4726</v>
      </c>
      <c r="I616" s="7" t="s">
        <v>3316</v>
      </c>
      <c r="J616" s="209">
        <v>33326</v>
      </c>
      <c r="K616" s="209">
        <v>8331.4</v>
      </c>
      <c r="L616" s="209">
        <v>0</v>
      </c>
      <c r="M616" s="209">
        <v>41657</v>
      </c>
      <c r="N616" s="61" t="s">
        <v>4621</v>
      </c>
      <c r="O616" s="7" t="s">
        <v>125</v>
      </c>
    </row>
    <row r="617" spans="1:15" x14ac:dyDescent="0.25">
      <c r="A617" s="7" t="s">
        <v>3347</v>
      </c>
      <c r="B617" s="7" t="s">
        <v>18</v>
      </c>
      <c r="C617" s="7" t="s">
        <v>150</v>
      </c>
      <c r="D617" s="7" t="s">
        <v>163</v>
      </c>
      <c r="E617" s="7" t="s">
        <v>3346</v>
      </c>
      <c r="F617" s="7" t="s">
        <v>3345</v>
      </c>
      <c r="G617" s="7" t="s">
        <v>2345</v>
      </c>
      <c r="H617" s="7" t="s">
        <v>3344</v>
      </c>
      <c r="I617" s="7" t="s">
        <v>3316</v>
      </c>
      <c r="J617" s="209">
        <v>185440</v>
      </c>
      <c r="K617" s="209">
        <v>46360</v>
      </c>
      <c r="L617" s="209">
        <v>0</v>
      </c>
      <c r="M617" s="209">
        <v>231800</v>
      </c>
      <c r="N617" s="61" t="s">
        <v>4621</v>
      </c>
      <c r="O617" s="7" t="s">
        <v>125</v>
      </c>
    </row>
    <row r="618" spans="1:15" x14ac:dyDescent="0.25">
      <c r="A618" s="187" t="s">
        <v>861</v>
      </c>
      <c r="B618" s="61" t="s">
        <v>90</v>
      </c>
      <c r="C618" s="61" t="s">
        <v>150</v>
      </c>
      <c r="D618" s="199" t="s">
        <v>4659</v>
      </c>
      <c r="E618" s="199" t="s">
        <v>4660</v>
      </c>
      <c r="F618" s="199" t="s">
        <v>4661</v>
      </c>
      <c r="G618" s="7" t="s">
        <v>2345</v>
      </c>
      <c r="H618" s="199" t="s">
        <v>4725</v>
      </c>
      <c r="I618" s="61" t="s">
        <v>3540</v>
      </c>
      <c r="J618" s="235">
        <v>5238245</v>
      </c>
      <c r="K618" s="211">
        <v>4584078</v>
      </c>
      <c r="L618" s="211">
        <v>0</v>
      </c>
      <c r="M618" s="235">
        <v>9822323</v>
      </c>
      <c r="N618" s="61" t="s">
        <v>82</v>
      </c>
      <c r="O618" s="61" t="s">
        <v>126</v>
      </c>
    </row>
    <row r="619" spans="1:15" x14ac:dyDescent="0.25">
      <c r="A619" s="7" t="s">
        <v>861</v>
      </c>
      <c r="B619" s="7" t="s">
        <v>90</v>
      </c>
      <c r="C619" s="7" t="s">
        <v>150</v>
      </c>
      <c r="D619" s="7" t="s">
        <v>482</v>
      </c>
      <c r="E619" s="7" t="s">
        <v>1061</v>
      </c>
      <c r="F619" s="7" t="s">
        <v>3541</v>
      </c>
      <c r="G619" s="7" t="s">
        <v>177</v>
      </c>
      <c r="H619" s="7" t="s">
        <v>178</v>
      </c>
      <c r="I619" s="7" t="s">
        <v>3540</v>
      </c>
      <c r="J619" s="209">
        <v>1599783</v>
      </c>
      <c r="K619" s="209">
        <v>399945.75</v>
      </c>
      <c r="L619" s="209">
        <v>0</v>
      </c>
      <c r="M619" s="209">
        <v>1999729</v>
      </c>
      <c r="N619" s="7" t="s">
        <v>82</v>
      </c>
      <c r="O619" s="7" t="s">
        <v>126</v>
      </c>
    </row>
    <row r="620" spans="1:15" x14ac:dyDescent="0.25">
      <c r="A620" s="187" t="s">
        <v>815</v>
      </c>
      <c r="B620" s="61" t="s">
        <v>90</v>
      </c>
      <c r="C620" s="61" t="s">
        <v>150</v>
      </c>
      <c r="D620" s="199" t="s">
        <v>163</v>
      </c>
      <c r="E620" s="199" t="s">
        <v>1045</v>
      </c>
      <c r="F620" s="199" t="s">
        <v>1045</v>
      </c>
      <c r="G620" s="7" t="s">
        <v>2345</v>
      </c>
      <c r="H620" s="7" t="s">
        <v>3523</v>
      </c>
      <c r="I620" s="61" t="s">
        <v>867</v>
      </c>
      <c r="J620" s="235">
        <v>184148</v>
      </c>
      <c r="K620" s="211">
        <v>276222</v>
      </c>
      <c r="L620" s="211">
        <v>0</v>
      </c>
      <c r="M620" s="235">
        <v>460370</v>
      </c>
      <c r="N620" s="61" t="s">
        <v>82</v>
      </c>
      <c r="O620" s="61" t="s">
        <v>126</v>
      </c>
    </row>
    <row r="621" spans="1:15" x14ac:dyDescent="0.25">
      <c r="A621" s="224" t="s">
        <v>4703</v>
      </c>
      <c r="B621" s="224" t="s">
        <v>18</v>
      </c>
      <c r="C621" s="224" t="s">
        <v>150</v>
      </c>
      <c r="D621" s="224" t="s">
        <v>163</v>
      </c>
      <c r="E621" s="224" t="s">
        <v>41</v>
      </c>
      <c r="F621" s="224" t="s">
        <v>41</v>
      </c>
      <c r="G621" s="224" t="s">
        <v>2345</v>
      </c>
      <c r="H621" s="224" t="s">
        <v>74</v>
      </c>
      <c r="I621" s="224" t="s">
        <v>18</v>
      </c>
      <c r="J621" s="224"/>
      <c r="K621" s="224"/>
      <c r="L621" s="226">
        <v>3572275</v>
      </c>
      <c r="M621" s="226">
        <v>3572275</v>
      </c>
      <c r="N621" s="224" t="s">
        <v>225</v>
      </c>
      <c r="O621" s="224" t="s">
        <v>125</v>
      </c>
    </row>
    <row r="622" spans="1:15" x14ac:dyDescent="0.25">
      <c r="A622" s="224" t="s">
        <v>4703</v>
      </c>
      <c r="B622" s="224" t="s">
        <v>18</v>
      </c>
      <c r="C622" s="224" t="s">
        <v>150</v>
      </c>
      <c r="D622" s="224" t="s">
        <v>149</v>
      </c>
      <c r="E622" s="224" t="s">
        <v>155</v>
      </c>
      <c r="F622" s="224" t="s">
        <v>160</v>
      </c>
      <c r="G622" s="224" t="s">
        <v>2345</v>
      </c>
      <c r="H622" s="224" t="s">
        <v>74</v>
      </c>
      <c r="I622" s="224" t="s">
        <v>83</v>
      </c>
      <c r="J622" s="224"/>
      <c r="K622" s="224"/>
      <c r="L622" s="226">
        <v>1250000</v>
      </c>
      <c r="M622" s="226">
        <v>1250000</v>
      </c>
      <c r="N622" s="224" t="s">
        <v>225</v>
      </c>
      <c r="O622" s="224" t="s">
        <v>125</v>
      </c>
    </row>
    <row r="623" spans="1:15" x14ac:dyDescent="0.25">
      <c r="A623" s="224" t="s">
        <v>4703</v>
      </c>
      <c r="B623" s="224" t="s">
        <v>18</v>
      </c>
      <c r="C623" s="224" t="s">
        <v>150</v>
      </c>
      <c r="D623" s="224" t="s">
        <v>163</v>
      </c>
      <c r="E623" s="224" t="s">
        <v>165</v>
      </c>
      <c r="F623" s="224" t="s">
        <v>172</v>
      </c>
      <c r="G623" s="224" t="s">
        <v>117</v>
      </c>
      <c r="H623" s="224" t="s">
        <v>119</v>
      </c>
      <c r="I623" s="224" t="s">
        <v>4758</v>
      </c>
      <c r="J623" s="224"/>
      <c r="K623" s="224"/>
      <c r="L623" s="226">
        <v>1188751.22</v>
      </c>
      <c r="M623" s="226">
        <v>1188751.22</v>
      </c>
      <c r="N623" s="224" t="s">
        <v>225</v>
      </c>
      <c r="O623" s="224" t="s">
        <v>125</v>
      </c>
    </row>
    <row r="624" spans="1:15" x14ac:dyDescent="0.25">
      <c r="A624" s="224" t="s">
        <v>4703</v>
      </c>
      <c r="B624" s="224" t="s">
        <v>18</v>
      </c>
      <c r="C624" s="224" t="s">
        <v>150</v>
      </c>
      <c r="D624" s="224" t="s">
        <v>163</v>
      </c>
      <c r="E624" s="224" t="s">
        <v>168</v>
      </c>
      <c r="F624" s="224" t="s">
        <v>175</v>
      </c>
      <c r="G624" s="224" t="s">
        <v>2345</v>
      </c>
      <c r="H624" s="224" t="s">
        <v>179</v>
      </c>
      <c r="I624" s="224" t="s">
        <v>18</v>
      </c>
      <c r="J624" s="224"/>
      <c r="K624" s="224"/>
      <c r="L624" s="226">
        <v>284301.09999999998</v>
      </c>
      <c r="M624" s="226">
        <v>284301.09999999998</v>
      </c>
      <c r="N624" s="224" t="s">
        <v>225</v>
      </c>
      <c r="O624" s="224" t="s">
        <v>125</v>
      </c>
    </row>
    <row r="625" spans="1:15" x14ac:dyDescent="0.25">
      <c r="A625" s="224" t="s">
        <v>4703</v>
      </c>
      <c r="B625" s="224" t="s">
        <v>18</v>
      </c>
      <c r="C625" s="224" t="s">
        <v>150</v>
      </c>
      <c r="D625" s="224" t="s">
        <v>163</v>
      </c>
      <c r="E625" s="224" t="s">
        <v>169</v>
      </c>
      <c r="F625" s="224" t="s">
        <v>176</v>
      </c>
      <c r="G625" s="224" t="s">
        <v>2345</v>
      </c>
      <c r="H625" s="224" t="s">
        <v>147</v>
      </c>
      <c r="I625" s="224" t="s">
        <v>18</v>
      </c>
      <c r="J625" s="224"/>
      <c r="K625" s="224"/>
      <c r="L625" s="226">
        <v>188655</v>
      </c>
      <c r="M625" s="226">
        <v>188655</v>
      </c>
      <c r="N625" s="224" t="s">
        <v>225</v>
      </c>
      <c r="O625" s="224" t="s">
        <v>125</v>
      </c>
    </row>
    <row r="626" spans="1:15" x14ac:dyDescent="0.25">
      <c r="A626" s="224" t="s">
        <v>4703</v>
      </c>
      <c r="B626" s="224" t="s">
        <v>18</v>
      </c>
      <c r="C626" s="224" t="s">
        <v>150</v>
      </c>
      <c r="D626" s="224" t="s">
        <v>149</v>
      </c>
      <c r="E626" s="224" t="s">
        <v>154</v>
      </c>
      <c r="F626" s="224" t="s">
        <v>159</v>
      </c>
      <c r="G626" s="224" t="s">
        <v>2345</v>
      </c>
      <c r="H626" s="224" t="s">
        <v>147</v>
      </c>
      <c r="I626" s="224" t="s">
        <v>162</v>
      </c>
      <c r="J626" s="224"/>
      <c r="K626" s="224"/>
      <c r="L626" s="226">
        <v>150000</v>
      </c>
      <c r="M626" s="226">
        <v>150000</v>
      </c>
      <c r="N626" s="224" t="s">
        <v>4625</v>
      </c>
      <c r="O626" s="224" t="s">
        <v>124</v>
      </c>
    </row>
    <row r="627" spans="1:15" x14ac:dyDescent="0.25">
      <c r="A627" s="224" t="s">
        <v>4703</v>
      </c>
      <c r="B627" s="224" t="s">
        <v>18</v>
      </c>
      <c r="C627" s="224" t="s">
        <v>150</v>
      </c>
      <c r="D627" s="224" t="s">
        <v>149</v>
      </c>
      <c r="E627" s="224" t="s">
        <v>151</v>
      </c>
      <c r="F627" s="224" t="s">
        <v>161</v>
      </c>
      <c r="G627" s="224" t="s">
        <v>212</v>
      </c>
      <c r="H627" s="224" t="s">
        <v>119</v>
      </c>
      <c r="I627" s="224" t="s">
        <v>162</v>
      </c>
      <c r="J627" s="224"/>
      <c r="K627" s="224"/>
      <c r="L627" s="226">
        <v>200000</v>
      </c>
      <c r="M627" s="226">
        <v>200000</v>
      </c>
      <c r="N627" s="224" t="s">
        <v>4625</v>
      </c>
      <c r="O627" s="224" t="s">
        <v>124</v>
      </c>
    </row>
    <row r="628" spans="1:15" x14ac:dyDescent="0.25">
      <c r="A628" s="224" t="s">
        <v>4703</v>
      </c>
      <c r="B628" s="224" t="s">
        <v>18</v>
      </c>
      <c r="C628" s="224" t="s">
        <v>150</v>
      </c>
      <c r="D628" s="224" t="s">
        <v>163</v>
      </c>
      <c r="E628" s="224" t="s">
        <v>163</v>
      </c>
      <c r="F628" s="224" t="s">
        <v>170</v>
      </c>
      <c r="G628" s="224" t="s">
        <v>2345</v>
      </c>
      <c r="H628" s="224" t="s">
        <v>147</v>
      </c>
      <c r="I628" s="224" t="s">
        <v>4758</v>
      </c>
      <c r="J628" s="224"/>
      <c r="K628" s="224"/>
      <c r="L628" s="226">
        <v>32964.800000000003</v>
      </c>
      <c r="M628" s="226">
        <v>32964.800000000003</v>
      </c>
      <c r="N628" s="224" t="s">
        <v>4624</v>
      </c>
      <c r="O628" s="224" t="s">
        <v>124</v>
      </c>
    </row>
    <row r="629" spans="1:15" x14ac:dyDescent="0.25">
      <c r="A629" s="224" t="s">
        <v>4703</v>
      </c>
      <c r="B629" s="224" t="s">
        <v>18</v>
      </c>
      <c r="C629" s="224" t="s">
        <v>150</v>
      </c>
      <c r="D629" s="224" t="s">
        <v>163</v>
      </c>
      <c r="E629" s="224" t="s">
        <v>164</v>
      </c>
      <c r="F629" s="224" t="s">
        <v>171</v>
      </c>
      <c r="G629" s="224" t="s">
        <v>2345</v>
      </c>
      <c r="H629" s="224" t="s">
        <v>147</v>
      </c>
      <c r="I629" s="224" t="s">
        <v>4758</v>
      </c>
      <c r="J629" s="224"/>
      <c r="K629" s="224"/>
      <c r="L629" s="226">
        <v>6290961.5599999996</v>
      </c>
      <c r="M629" s="226">
        <v>6290961.5599999996</v>
      </c>
      <c r="N629" s="224" t="s">
        <v>82</v>
      </c>
      <c r="O629" s="224" t="s">
        <v>126</v>
      </c>
    </row>
    <row r="630" spans="1:15" x14ac:dyDescent="0.25">
      <c r="A630" s="224" t="s">
        <v>4703</v>
      </c>
      <c r="B630" s="224" t="s">
        <v>18</v>
      </c>
      <c r="C630" s="224" t="s">
        <v>150</v>
      </c>
      <c r="D630" s="224" t="s">
        <v>163</v>
      </c>
      <c r="E630" s="224" t="s">
        <v>166</v>
      </c>
      <c r="F630" s="224" t="s">
        <v>173</v>
      </c>
      <c r="G630" s="224" t="s">
        <v>177</v>
      </c>
      <c r="H630" s="224" t="s">
        <v>178</v>
      </c>
      <c r="I630" s="224" t="s">
        <v>4758</v>
      </c>
      <c r="J630" s="224"/>
      <c r="K630" s="224"/>
      <c r="L630" s="226">
        <v>199680.2</v>
      </c>
      <c r="M630" s="226">
        <v>199680.2</v>
      </c>
      <c r="N630" s="224" t="s">
        <v>82</v>
      </c>
      <c r="O630" s="224" t="s">
        <v>126</v>
      </c>
    </row>
    <row r="631" spans="1:15" x14ac:dyDescent="0.25">
      <c r="A631" s="224" t="s">
        <v>4703</v>
      </c>
      <c r="B631" s="224" t="s">
        <v>18</v>
      </c>
      <c r="C631" s="224" t="s">
        <v>150</v>
      </c>
      <c r="D631" s="224" t="s">
        <v>149</v>
      </c>
      <c r="E631" s="224" t="s">
        <v>153</v>
      </c>
      <c r="F631" s="224" t="s">
        <v>158</v>
      </c>
      <c r="G631" s="224" t="s">
        <v>2345</v>
      </c>
      <c r="H631" s="224" t="s">
        <v>75</v>
      </c>
      <c r="I631" s="224" t="s">
        <v>4758</v>
      </c>
      <c r="J631" s="224"/>
      <c r="K631" s="224"/>
      <c r="L631" s="226">
        <v>350000</v>
      </c>
      <c r="M631" s="226">
        <v>350000</v>
      </c>
      <c r="N631" s="224" t="s">
        <v>4624</v>
      </c>
      <c r="O631" s="224" t="s">
        <v>124</v>
      </c>
    </row>
    <row r="632" spans="1:15" x14ac:dyDescent="0.25">
      <c r="A632" s="224" t="s">
        <v>4703</v>
      </c>
      <c r="B632" s="224" t="s">
        <v>18</v>
      </c>
      <c r="C632" s="224" t="s">
        <v>150</v>
      </c>
      <c r="D632" s="224" t="s">
        <v>149</v>
      </c>
      <c r="E632" s="224" t="s">
        <v>151</v>
      </c>
      <c r="F632" s="224" t="s">
        <v>156</v>
      </c>
      <c r="G632" s="224" t="s">
        <v>2345</v>
      </c>
      <c r="H632" s="224" t="s">
        <v>123</v>
      </c>
      <c r="I632" s="224" t="s">
        <v>4758</v>
      </c>
      <c r="J632" s="224"/>
      <c r="K632" s="224"/>
      <c r="L632" s="226">
        <v>6500000</v>
      </c>
      <c r="M632" s="226">
        <v>6500000</v>
      </c>
      <c r="N632" s="224" t="s">
        <v>79</v>
      </c>
      <c r="O632" s="224" t="s">
        <v>124</v>
      </c>
    </row>
    <row r="633" spans="1:15" x14ac:dyDescent="0.25">
      <c r="A633" s="224" t="s">
        <v>4703</v>
      </c>
      <c r="B633" s="224" t="s">
        <v>18</v>
      </c>
      <c r="C633" s="224" t="s">
        <v>150</v>
      </c>
      <c r="D633" s="224" t="s">
        <v>149</v>
      </c>
      <c r="E633" s="224" t="s">
        <v>152</v>
      </c>
      <c r="F633" s="224" t="s">
        <v>157</v>
      </c>
      <c r="G633" s="224" t="s">
        <v>2345</v>
      </c>
      <c r="H633" s="224" t="s">
        <v>123</v>
      </c>
      <c r="I633" s="224" t="s">
        <v>4758</v>
      </c>
      <c r="J633" s="224"/>
      <c r="K633" s="224"/>
      <c r="L633" s="226">
        <v>3000000</v>
      </c>
      <c r="M633" s="226">
        <v>3000000</v>
      </c>
      <c r="N633" s="224" t="s">
        <v>79</v>
      </c>
      <c r="O633" s="224" t="s">
        <v>124</v>
      </c>
    </row>
    <row r="634" spans="1:15" x14ac:dyDescent="0.25">
      <c r="A634" s="224" t="s">
        <v>4703</v>
      </c>
      <c r="B634" s="224" t="s">
        <v>18</v>
      </c>
      <c r="C634" s="224" t="s">
        <v>150</v>
      </c>
      <c r="D634" s="224" t="s">
        <v>163</v>
      </c>
      <c r="E634" s="224" t="s">
        <v>167</v>
      </c>
      <c r="F634" s="224" t="s">
        <v>174</v>
      </c>
      <c r="G634" s="224" t="s">
        <v>177</v>
      </c>
      <c r="H634" s="224" t="s">
        <v>178</v>
      </c>
      <c r="I634" s="224" t="s">
        <v>4758</v>
      </c>
      <c r="J634" s="224"/>
      <c r="K634" s="224"/>
      <c r="L634" s="226">
        <v>173999.94</v>
      </c>
      <c r="M634" s="226">
        <v>173999.94</v>
      </c>
      <c r="N634" s="224" t="s">
        <v>225</v>
      </c>
      <c r="O634" s="224" t="s">
        <v>125</v>
      </c>
    </row>
    <row r="635" spans="1:15" x14ac:dyDescent="0.25">
      <c r="A635" s="223" t="s">
        <v>4703</v>
      </c>
      <c r="B635" s="224" t="s">
        <v>18</v>
      </c>
      <c r="C635" s="224" t="s">
        <v>648</v>
      </c>
      <c r="D635" s="225" t="s">
        <v>163</v>
      </c>
      <c r="E635" s="224" t="s">
        <v>164</v>
      </c>
      <c r="F635" s="224" t="s">
        <v>280</v>
      </c>
      <c r="G635" s="224" t="s">
        <v>73</v>
      </c>
      <c r="H635" s="224" t="s">
        <v>245</v>
      </c>
      <c r="I635" s="224" t="s">
        <v>224</v>
      </c>
      <c r="J635" s="226"/>
      <c r="K635" s="226"/>
      <c r="L635" s="226">
        <v>110813.5</v>
      </c>
      <c r="M635" s="226">
        <v>110813.5</v>
      </c>
      <c r="N635" s="224" t="s">
        <v>225</v>
      </c>
      <c r="O635" s="224" t="s">
        <v>125</v>
      </c>
    </row>
    <row r="636" spans="1:15" x14ac:dyDescent="0.25">
      <c r="A636" s="223" t="s">
        <v>4703</v>
      </c>
      <c r="B636" s="224" t="s">
        <v>90</v>
      </c>
      <c r="C636" s="224" t="s">
        <v>150</v>
      </c>
      <c r="D636" s="225" t="s">
        <v>250</v>
      </c>
      <c r="E636" s="224" t="s">
        <v>251</v>
      </c>
      <c r="F636" s="224" t="s">
        <v>252</v>
      </c>
      <c r="G636" s="224" t="s">
        <v>2345</v>
      </c>
      <c r="H636" s="224" t="s">
        <v>219</v>
      </c>
      <c r="I636" s="224" t="s">
        <v>220</v>
      </c>
      <c r="J636" s="226"/>
      <c r="K636" s="226"/>
      <c r="L636" s="226">
        <v>93000</v>
      </c>
      <c r="M636" s="226">
        <v>93000</v>
      </c>
      <c r="N636" s="224" t="s">
        <v>225</v>
      </c>
      <c r="O636" s="224" t="s">
        <v>125</v>
      </c>
    </row>
    <row r="637" spans="1:15" x14ac:dyDescent="0.25">
      <c r="A637" s="223" t="s">
        <v>4703</v>
      </c>
      <c r="B637" s="224" t="s">
        <v>18</v>
      </c>
      <c r="C637" s="224" t="s">
        <v>150</v>
      </c>
      <c r="D637" s="225" t="s">
        <v>242</v>
      </c>
      <c r="E637" s="224" t="s">
        <v>243</v>
      </c>
      <c r="F637" s="225" t="s">
        <v>244</v>
      </c>
      <c r="G637" s="224" t="s">
        <v>73</v>
      </c>
      <c r="H637" s="224" t="s">
        <v>245</v>
      </c>
      <c r="I637" s="224" t="s">
        <v>224</v>
      </c>
      <c r="J637" s="226"/>
      <c r="K637" s="226"/>
      <c r="L637" s="226">
        <v>4340</v>
      </c>
      <c r="M637" s="226">
        <v>4340</v>
      </c>
      <c r="N637" s="224" t="s">
        <v>225</v>
      </c>
      <c r="O637" s="224" t="s">
        <v>125</v>
      </c>
    </row>
    <row r="638" spans="1:15" x14ac:dyDescent="0.25">
      <c r="A638" s="223" t="s">
        <v>504</v>
      </c>
      <c r="B638" s="224" t="s">
        <v>90</v>
      </c>
      <c r="C638" s="224" t="s">
        <v>20</v>
      </c>
      <c r="D638" s="225" t="s">
        <v>505</v>
      </c>
      <c r="E638" s="224" t="s">
        <v>506</v>
      </c>
      <c r="F638" s="224" t="s">
        <v>507</v>
      </c>
      <c r="G638" s="224" t="s">
        <v>73</v>
      </c>
      <c r="H638" s="224" t="s">
        <v>245</v>
      </c>
      <c r="I638" s="224" t="s">
        <v>224</v>
      </c>
      <c r="J638" s="226"/>
      <c r="K638" s="226"/>
      <c r="L638" s="226">
        <v>4436</v>
      </c>
      <c r="M638" s="226">
        <v>4436</v>
      </c>
      <c r="N638" s="224" t="s">
        <v>82</v>
      </c>
      <c r="O638" s="224" t="s">
        <v>214</v>
      </c>
    </row>
    <row r="639" spans="1:15" x14ac:dyDescent="0.25">
      <c r="A639" s="223" t="s">
        <v>508</v>
      </c>
      <c r="B639" s="224" t="s">
        <v>90</v>
      </c>
      <c r="C639" s="224" t="s">
        <v>20</v>
      </c>
      <c r="D639" s="225" t="s">
        <v>509</v>
      </c>
      <c r="E639" s="224" t="s">
        <v>510</v>
      </c>
      <c r="F639" s="224" t="s">
        <v>511</v>
      </c>
      <c r="G639" s="224" t="s">
        <v>117</v>
      </c>
      <c r="H639" s="224" t="s">
        <v>119</v>
      </c>
      <c r="I639" s="224" t="s">
        <v>224</v>
      </c>
      <c r="J639" s="226"/>
      <c r="K639" s="226"/>
      <c r="L639" s="226">
        <v>751000</v>
      </c>
      <c r="M639" s="226">
        <v>751000</v>
      </c>
      <c r="N639" s="224" t="s">
        <v>82</v>
      </c>
      <c r="O639" s="224" t="s">
        <v>214</v>
      </c>
    </row>
    <row r="640" spans="1:15" x14ac:dyDescent="0.25">
      <c r="A640" s="7" t="s">
        <v>4283</v>
      </c>
      <c r="B640" s="7" t="s">
        <v>18</v>
      </c>
      <c r="C640" s="7" t="s">
        <v>20</v>
      </c>
      <c r="D640" s="7" t="s">
        <v>2689</v>
      </c>
      <c r="E640" s="7" t="s">
        <v>2688</v>
      </c>
      <c r="F640" s="7" t="s">
        <v>4282</v>
      </c>
      <c r="G640" s="7" t="s">
        <v>117</v>
      </c>
      <c r="H640" s="7" t="s">
        <v>119</v>
      </c>
      <c r="I640" s="7" t="s">
        <v>4281</v>
      </c>
      <c r="J640" s="209">
        <v>1556287</v>
      </c>
      <c r="K640" s="209">
        <v>389071.80000000005</v>
      </c>
      <c r="L640" s="209">
        <v>0</v>
      </c>
      <c r="M640" s="209">
        <v>1945359</v>
      </c>
      <c r="N640" s="7" t="s">
        <v>82</v>
      </c>
      <c r="O640" s="7" t="s">
        <v>126</v>
      </c>
    </row>
    <row r="641" spans="1:15" x14ac:dyDescent="0.25">
      <c r="A641" s="187" t="s">
        <v>844</v>
      </c>
      <c r="B641" s="61" t="s">
        <v>18</v>
      </c>
      <c r="C641" s="61" t="s">
        <v>20</v>
      </c>
      <c r="D641" s="199" t="s">
        <v>4665</v>
      </c>
      <c r="E641" s="199" t="s">
        <v>29</v>
      </c>
      <c r="F641" s="199" t="s">
        <v>1181</v>
      </c>
      <c r="G641" s="224" t="s">
        <v>212</v>
      </c>
      <c r="H641" s="199" t="s">
        <v>1269</v>
      </c>
      <c r="I641" s="199" t="s">
        <v>2581</v>
      </c>
      <c r="J641" s="235">
        <v>58</v>
      </c>
      <c r="K641" s="211">
        <v>15</v>
      </c>
      <c r="L641" s="211">
        <v>0</v>
      </c>
      <c r="M641" s="235">
        <v>73</v>
      </c>
      <c r="N641" s="61" t="s">
        <v>4624</v>
      </c>
      <c r="O641" s="61" t="s">
        <v>125</v>
      </c>
    </row>
    <row r="642" spans="1:15" x14ac:dyDescent="0.25">
      <c r="A642" s="223" t="s">
        <v>512</v>
      </c>
      <c r="B642" s="224" t="s">
        <v>90</v>
      </c>
      <c r="C642" s="224" t="s">
        <v>20</v>
      </c>
      <c r="D642" s="225" t="s">
        <v>513</v>
      </c>
      <c r="E642" s="224" t="s">
        <v>514</v>
      </c>
      <c r="F642" s="224" t="s">
        <v>515</v>
      </c>
      <c r="G642" s="224" t="s">
        <v>73</v>
      </c>
      <c r="H642" s="224" t="s">
        <v>245</v>
      </c>
      <c r="I642" s="224" t="s">
        <v>516</v>
      </c>
      <c r="J642" s="226"/>
      <c r="K642" s="226"/>
      <c r="L642" s="226">
        <v>1248477.18</v>
      </c>
      <c r="M642" s="226">
        <v>1248477.18</v>
      </c>
      <c r="N642" s="224" t="s">
        <v>82</v>
      </c>
      <c r="O642" s="224" t="s">
        <v>214</v>
      </c>
    </row>
    <row r="643" spans="1:15" x14ac:dyDescent="0.25">
      <c r="A643" s="223" t="s">
        <v>517</v>
      </c>
      <c r="B643" s="224" t="s">
        <v>90</v>
      </c>
      <c r="C643" s="224" t="s">
        <v>20</v>
      </c>
      <c r="D643" s="225" t="s">
        <v>518</v>
      </c>
      <c r="E643" s="224" t="s">
        <v>519</v>
      </c>
      <c r="F643" s="224" t="s">
        <v>520</v>
      </c>
      <c r="G643" s="224" t="s">
        <v>212</v>
      </c>
      <c r="H643" s="224" t="s">
        <v>213</v>
      </c>
      <c r="I643" s="224" t="s">
        <v>224</v>
      </c>
      <c r="J643" s="226"/>
      <c r="K643" s="226"/>
      <c r="L643" s="226">
        <v>70564</v>
      </c>
      <c r="M643" s="226">
        <v>70564</v>
      </c>
      <c r="N643" s="224" t="s">
        <v>225</v>
      </c>
      <c r="O643" s="224" t="s">
        <v>125</v>
      </c>
    </row>
    <row r="644" spans="1:15" x14ac:dyDescent="0.25">
      <c r="A644" s="223" t="s">
        <v>517</v>
      </c>
      <c r="B644" s="224" t="s">
        <v>90</v>
      </c>
      <c r="C644" s="224" t="s">
        <v>20</v>
      </c>
      <c r="D644" s="225" t="s">
        <v>518</v>
      </c>
      <c r="E644" s="224" t="s">
        <v>519</v>
      </c>
      <c r="F644" s="224" t="s">
        <v>521</v>
      </c>
      <c r="G644" s="224" t="s">
        <v>73</v>
      </c>
      <c r="H644" s="224" t="s">
        <v>245</v>
      </c>
      <c r="I644" s="224" t="s">
        <v>224</v>
      </c>
      <c r="J644" s="226"/>
      <c r="K644" s="226"/>
      <c r="L644" s="226">
        <v>38079.089999999997</v>
      </c>
      <c r="M644" s="226">
        <v>38079.089999999997</v>
      </c>
      <c r="N644" s="224" t="s">
        <v>225</v>
      </c>
      <c r="O644" s="224" t="s">
        <v>125</v>
      </c>
    </row>
    <row r="645" spans="1:15" x14ac:dyDescent="0.25">
      <c r="A645" s="223" t="s">
        <v>522</v>
      </c>
      <c r="B645" s="224" t="s">
        <v>90</v>
      </c>
      <c r="C645" s="224" t="s">
        <v>20</v>
      </c>
      <c r="D645" s="225" t="s">
        <v>523</v>
      </c>
      <c r="E645" s="224" t="s">
        <v>524</v>
      </c>
      <c r="F645" s="224" t="s">
        <v>525</v>
      </c>
      <c r="G645" s="224" t="s">
        <v>177</v>
      </c>
      <c r="H645" s="224" t="s">
        <v>178</v>
      </c>
      <c r="I645" s="224" t="s">
        <v>224</v>
      </c>
      <c r="J645" s="226"/>
      <c r="K645" s="226"/>
      <c r="L645" s="226">
        <v>147757</v>
      </c>
      <c r="M645" s="226">
        <v>147757</v>
      </c>
      <c r="N645" s="224" t="s">
        <v>82</v>
      </c>
      <c r="O645" s="224" t="s">
        <v>214</v>
      </c>
    </row>
    <row r="646" spans="1:15" x14ac:dyDescent="0.25">
      <c r="A646" s="187" t="s">
        <v>739</v>
      </c>
      <c r="B646" s="61" t="s">
        <v>90</v>
      </c>
      <c r="C646" s="61" t="s">
        <v>20</v>
      </c>
      <c r="D646" s="199" t="s">
        <v>922</v>
      </c>
      <c r="E646" s="199" t="s">
        <v>984</v>
      </c>
      <c r="F646" s="199" t="s">
        <v>1091</v>
      </c>
      <c r="G646" s="7" t="s">
        <v>2345</v>
      </c>
      <c r="H646" s="199" t="s">
        <v>1204</v>
      </c>
      <c r="I646" s="199" t="s">
        <v>2284</v>
      </c>
      <c r="J646" s="235">
        <v>1257.8800000000001</v>
      </c>
      <c r="K646" s="211">
        <v>314.11999999999989</v>
      </c>
      <c r="L646" s="211">
        <v>0</v>
      </c>
      <c r="M646" s="235">
        <v>1572</v>
      </c>
      <c r="N646" s="61" t="s">
        <v>4616</v>
      </c>
      <c r="O646" s="61" t="s">
        <v>125</v>
      </c>
    </row>
    <row r="647" spans="1:15" x14ac:dyDescent="0.25">
      <c r="A647" s="223" t="s">
        <v>526</v>
      </c>
      <c r="B647" s="224" t="s">
        <v>90</v>
      </c>
      <c r="C647" s="224" t="s">
        <v>20</v>
      </c>
      <c r="D647" s="225" t="s">
        <v>527</v>
      </c>
      <c r="E647" s="224" t="s">
        <v>528</v>
      </c>
      <c r="F647" s="224" t="s">
        <v>529</v>
      </c>
      <c r="G647" s="224" t="s">
        <v>117</v>
      </c>
      <c r="H647" s="224" t="s">
        <v>119</v>
      </c>
      <c r="I647" s="224" t="s">
        <v>224</v>
      </c>
      <c r="J647" s="226"/>
      <c r="K647" s="226"/>
      <c r="L647" s="226">
        <v>93252</v>
      </c>
      <c r="M647" s="226">
        <v>93252</v>
      </c>
      <c r="N647" s="224" t="s">
        <v>82</v>
      </c>
      <c r="O647" s="224" t="s">
        <v>214</v>
      </c>
    </row>
    <row r="648" spans="1:15" x14ac:dyDescent="0.25">
      <c r="A648" s="223" t="s">
        <v>530</v>
      </c>
      <c r="B648" s="224" t="s">
        <v>90</v>
      </c>
      <c r="C648" s="224" t="s">
        <v>20</v>
      </c>
      <c r="D648" s="225" t="s">
        <v>294</v>
      </c>
      <c r="E648" s="224" t="s">
        <v>295</v>
      </c>
      <c r="F648" s="224" t="s">
        <v>296</v>
      </c>
      <c r="G648" s="224" t="s">
        <v>73</v>
      </c>
      <c r="H648" s="224" t="s">
        <v>245</v>
      </c>
      <c r="I648" s="224" t="s">
        <v>224</v>
      </c>
      <c r="J648" s="226"/>
      <c r="K648" s="226"/>
      <c r="L648" s="226">
        <v>26487.94</v>
      </c>
      <c r="M648" s="226">
        <v>26487.94</v>
      </c>
      <c r="N648" s="224" t="s">
        <v>225</v>
      </c>
      <c r="O648" s="224" t="s">
        <v>125</v>
      </c>
    </row>
    <row r="649" spans="1:15" x14ac:dyDescent="0.25">
      <c r="A649" s="187" t="s">
        <v>763</v>
      </c>
      <c r="B649" s="61" t="s">
        <v>90</v>
      </c>
      <c r="C649" s="61" t="s">
        <v>20</v>
      </c>
      <c r="D649" s="199" t="s">
        <v>4658</v>
      </c>
      <c r="E649" s="199" t="s">
        <v>27</v>
      </c>
      <c r="F649" s="199" t="s">
        <v>1112</v>
      </c>
      <c r="G649" s="7" t="s">
        <v>2345</v>
      </c>
      <c r="H649" s="199" t="s">
        <v>4751</v>
      </c>
      <c r="I649" s="199" t="s">
        <v>2284</v>
      </c>
      <c r="J649" s="235">
        <v>3194.4</v>
      </c>
      <c r="K649" s="211">
        <v>2129.6</v>
      </c>
      <c r="L649" s="211">
        <v>0</v>
      </c>
      <c r="M649" s="235">
        <v>5324</v>
      </c>
      <c r="N649" s="61" t="s">
        <v>4620</v>
      </c>
      <c r="O649" s="61" t="s">
        <v>124</v>
      </c>
    </row>
    <row r="650" spans="1:15" x14ac:dyDescent="0.25">
      <c r="A650" s="187" t="s">
        <v>763</v>
      </c>
      <c r="B650" s="61" t="s">
        <v>90</v>
      </c>
      <c r="C650" s="61" t="s">
        <v>20</v>
      </c>
      <c r="D650" s="199" t="s">
        <v>4658</v>
      </c>
      <c r="E650" s="199" t="s">
        <v>27</v>
      </c>
      <c r="F650" s="199" t="s">
        <v>1112</v>
      </c>
      <c r="G650" s="7" t="s">
        <v>2345</v>
      </c>
      <c r="H650" s="199" t="s">
        <v>4751</v>
      </c>
      <c r="I650" s="199" t="s">
        <v>2284</v>
      </c>
      <c r="J650" s="235">
        <v>819.42</v>
      </c>
      <c r="K650" s="211">
        <v>546.58000000000004</v>
      </c>
      <c r="L650" s="211">
        <v>0</v>
      </c>
      <c r="M650" s="235">
        <v>1366</v>
      </c>
      <c r="N650" s="61" t="s">
        <v>4620</v>
      </c>
      <c r="O650" s="61" t="s">
        <v>124</v>
      </c>
    </row>
    <row r="651" spans="1:15" x14ac:dyDescent="0.25">
      <c r="A651" s="223" t="s">
        <v>531</v>
      </c>
      <c r="B651" s="224" t="s">
        <v>90</v>
      </c>
      <c r="C651" s="224" t="s">
        <v>20</v>
      </c>
      <c r="D651" s="225" t="s">
        <v>532</v>
      </c>
      <c r="E651" s="224" t="s">
        <v>533</v>
      </c>
      <c r="F651" s="224" t="s">
        <v>534</v>
      </c>
      <c r="G651" s="224" t="s">
        <v>117</v>
      </c>
      <c r="H651" s="224" t="s">
        <v>119</v>
      </c>
      <c r="I651" s="224" t="s">
        <v>224</v>
      </c>
      <c r="J651" s="226"/>
      <c r="K651" s="226"/>
      <c r="L651" s="226">
        <v>331831</v>
      </c>
      <c r="M651" s="226">
        <v>331831</v>
      </c>
      <c r="N651" s="224" t="s">
        <v>82</v>
      </c>
      <c r="O651" s="224" t="s">
        <v>214</v>
      </c>
    </row>
    <row r="652" spans="1:15" x14ac:dyDescent="0.25">
      <c r="A652" s="223" t="s">
        <v>535</v>
      </c>
      <c r="B652" s="224" t="s">
        <v>90</v>
      </c>
      <c r="C652" s="224" t="s">
        <v>20</v>
      </c>
      <c r="D652" s="225" t="s">
        <v>536</v>
      </c>
      <c r="E652" s="224" t="s">
        <v>260</v>
      </c>
      <c r="F652" s="224" t="s">
        <v>537</v>
      </c>
      <c r="G652" s="224" t="s">
        <v>177</v>
      </c>
      <c r="H652" s="224" t="s">
        <v>178</v>
      </c>
      <c r="I652" s="224" t="s">
        <v>224</v>
      </c>
      <c r="J652" s="226"/>
      <c r="K652" s="226"/>
      <c r="L652" s="226">
        <v>719320</v>
      </c>
      <c r="M652" s="226">
        <v>719320</v>
      </c>
      <c r="N652" s="224" t="s">
        <v>225</v>
      </c>
      <c r="O652" s="224" t="s">
        <v>125</v>
      </c>
    </row>
    <row r="653" spans="1:15" x14ac:dyDescent="0.25">
      <c r="A653" s="7" t="s">
        <v>2871</v>
      </c>
      <c r="B653" s="7" t="s">
        <v>90</v>
      </c>
      <c r="C653" s="7" t="s">
        <v>20</v>
      </c>
      <c r="D653" s="7" t="s">
        <v>294</v>
      </c>
      <c r="E653" s="7" t="s">
        <v>1023</v>
      </c>
      <c r="F653" s="7" t="s">
        <v>2870</v>
      </c>
      <c r="G653" s="7" t="s">
        <v>2345</v>
      </c>
      <c r="H653" s="7" t="s">
        <v>74</v>
      </c>
      <c r="I653" s="7" t="s">
        <v>1275</v>
      </c>
      <c r="J653" s="209">
        <v>2512000</v>
      </c>
      <c r="K653" s="209">
        <v>630000</v>
      </c>
      <c r="L653" s="209">
        <v>8000</v>
      </c>
      <c r="M653" s="209">
        <v>3150000</v>
      </c>
      <c r="N653" s="7" t="s">
        <v>225</v>
      </c>
      <c r="O653" s="7" t="s">
        <v>125</v>
      </c>
    </row>
    <row r="654" spans="1:15" x14ac:dyDescent="0.25">
      <c r="A654" s="7" t="s">
        <v>2871</v>
      </c>
      <c r="B654" s="7" t="s">
        <v>90</v>
      </c>
      <c r="C654" s="7" t="s">
        <v>20</v>
      </c>
      <c r="D654" s="7" t="s">
        <v>294</v>
      </c>
      <c r="E654" s="7" t="s">
        <v>1023</v>
      </c>
      <c r="F654" s="7" t="s">
        <v>2870</v>
      </c>
      <c r="G654" s="7" t="s">
        <v>177</v>
      </c>
      <c r="H654" s="7" t="s">
        <v>178</v>
      </c>
      <c r="I654" s="7" t="s">
        <v>1275</v>
      </c>
      <c r="J654" s="209">
        <v>280000</v>
      </c>
      <c r="K654" s="209">
        <v>70000</v>
      </c>
      <c r="L654" s="209">
        <v>0</v>
      </c>
      <c r="M654" s="209">
        <v>350000</v>
      </c>
      <c r="N654" s="7" t="s">
        <v>225</v>
      </c>
      <c r="O654" s="7" t="s">
        <v>125</v>
      </c>
    </row>
    <row r="655" spans="1:15" x14ac:dyDescent="0.25">
      <c r="A655" s="223" t="s">
        <v>538</v>
      </c>
      <c r="B655" s="224" t="s">
        <v>90</v>
      </c>
      <c r="C655" s="224" t="s">
        <v>20</v>
      </c>
      <c r="D655" s="225" t="s">
        <v>539</v>
      </c>
      <c r="E655" s="224" t="s">
        <v>540</v>
      </c>
      <c r="F655" s="224" t="s">
        <v>541</v>
      </c>
      <c r="G655" s="224" t="s">
        <v>212</v>
      </c>
      <c r="H655" s="224" t="s">
        <v>213</v>
      </c>
      <c r="I655" s="224" t="s">
        <v>224</v>
      </c>
      <c r="J655" s="226"/>
      <c r="K655" s="226"/>
      <c r="L655" s="226">
        <v>25325</v>
      </c>
      <c r="M655" s="226">
        <v>25325</v>
      </c>
      <c r="N655" s="224" t="s">
        <v>4625</v>
      </c>
      <c r="O655" s="224" t="s">
        <v>124</v>
      </c>
    </row>
    <row r="656" spans="1:15" x14ac:dyDescent="0.25">
      <c r="A656" s="223" t="s">
        <v>542</v>
      </c>
      <c r="B656" s="224" t="s">
        <v>90</v>
      </c>
      <c r="C656" s="224" t="s">
        <v>20</v>
      </c>
      <c r="D656" s="225" t="s">
        <v>543</v>
      </c>
      <c r="E656" s="224" t="s">
        <v>544</v>
      </c>
      <c r="F656" s="224" t="s">
        <v>545</v>
      </c>
      <c r="G656" s="224" t="s">
        <v>117</v>
      </c>
      <c r="H656" s="224" t="s">
        <v>119</v>
      </c>
      <c r="I656" s="224" t="s">
        <v>224</v>
      </c>
      <c r="J656" s="226"/>
      <c r="K656" s="226"/>
      <c r="L656" s="226">
        <v>141157</v>
      </c>
      <c r="M656" s="226">
        <v>141157</v>
      </c>
      <c r="N656" s="224" t="s">
        <v>82</v>
      </c>
      <c r="O656" s="224" t="s">
        <v>214</v>
      </c>
    </row>
    <row r="657" spans="1:15" x14ac:dyDescent="0.25">
      <c r="A657" s="223" t="s">
        <v>546</v>
      </c>
      <c r="B657" s="224" t="s">
        <v>90</v>
      </c>
      <c r="C657" s="224" t="s">
        <v>20</v>
      </c>
      <c r="D657" s="225" t="s">
        <v>547</v>
      </c>
      <c r="E657" s="224" t="s">
        <v>548</v>
      </c>
      <c r="F657" s="224" t="s">
        <v>549</v>
      </c>
      <c r="G657" s="224" t="s">
        <v>117</v>
      </c>
      <c r="H657" s="224" t="s">
        <v>119</v>
      </c>
      <c r="I657" s="224" t="s">
        <v>224</v>
      </c>
      <c r="J657" s="226"/>
      <c r="K657" s="226"/>
      <c r="L657" s="226">
        <v>77979</v>
      </c>
      <c r="M657" s="226">
        <v>77979</v>
      </c>
      <c r="N657" s="224" t="s">
        <v>82</v>
      </c>
      <c r="O657" s="224" t="s">
        <v>214</v>
      </c>
    </row>
    <row r="658" spans="1:15" x14ac:dyDescent="0.25">
      <c r="A658" s="223" t="s">
        <v>550</v>
      </c>
      <c r="B658" s="224" t="s">
        <v>90</v>
      </c>
      <c r="C658" s="224" t="s">
        <v>20</v>
      </c>
      <c r="D658" s="225" t="s">
        <v>551</v>
      </c>
      <c r="E658" s="224" t="s">
        <v>295</v>
      </c>
      <c r="F658" s="224" t="s">
        <v>552</v>
      </c>
      <c r="G658" s="224" t="s">
        <v>212</v>
      </c>
      <c r="H658" s="224" t="s">
        <v>213</v>
      </c>
      <c r="I658" s="224" t="s">
        <v>224</v>
      </c>
      <c r="J658" s="226"/>
      <c r="K658" s="226"/>
      <c r="L658" s="226">
        <v>182441</v>
      </c>
      <c r="M658" s="226">
        <v>182441</v>
      </c>
      <c r="N658" s="224" t="s">
        <v>79</v>
      </c>
      <c r="O658" s="224" t="s">
        <v>124</v>
      </c>
    </row>
    <row r="659" spans="1:15" x14ac:dyDescent="0.25">
      <c r="A659" s="7" t="s">
        <v>2880</v>
      </c>
      <c r="B659" s="7" t="s">
        <v>18</v>
      </c>
      <c r="C659" s="7" t="s">
        <v>20</v>
      </c>
      <c r="D659" s="7" t="s">
        <v>2879</v>
      </c>
      <c r="E659" s="7" t="s">
        <v>2878</v>
      </c>
      <c r="F659" s="7" t="s">
        <v>2877</v>
      </c>
      <c r="G659" s="7" t="s">
        <v>177</v>
      </c>
      <c r="H659" s="7" t="s">
        <v>178</v>
      </c>
      <c r="I659" s="7" t="s">
        <v>2781</v>
      </c>
      <c r="J659" s="209">
        <v>28578</v>
      </c>
      <c r="K659" s="209">
        <v>7144.4000000000005</v>
      </c>
      <c r="L659" s="209">
        <v>0</v>
      </c>
      <c r="M659" s="209">
        <v>35722</v>
      </c>
      <c r="N659" s="7" t="s">
        <v>4621</v>
      </c>
      <c r="O659" s="7" t="s">
        <v>124</v>
      </c>
    </row>
    <row r="660" spans="1:15" x14ac:dyDescent="0.25">
      <c r="A660" s="7" t="s">
        <v>2880</v>
      </c>
      <c r="B660" s="7" t="s">
        <v>18</v>
      </c>
      <c r="C660" s="7" t="s">
        <v>20</v>
      </c>
      <c r="D660" s="7" t="s">
        <v>2879</v>
      </c>
      <c r="E660" s="7" t="s">
        <v>2878</v>
      </c>
      <c r="F660" s="7" t="s">
        <v>2877</v>
      </c>
      <c r="G660" s="7" t="s">
        <v>2345</v>
      </c>
      <c r="H660" s="7" t="s">
        <v>681</v>
      </c>
      <c r="I660" s="7" t="s">
        <v>2781</v>
      </c>
      <c r="J660" s="209">
        <v>238350</v>
      </c>
      <c r="K660" s="209">
        <v>59588</v>
      </c>
      <c r="L660" s="209">
        <v>0</v>
      </c>
      <c r="M660" s="209">
        <v>297940</v>
      </c>
      <c r="N660" s="7" t="s">
        <v>4621</v>
      </c>
      <c r="O660" s="7" t="s">
        <v>124</v>
      </c>
    </row>
    <row r="661" spans="1:15" x14ac:dyDescent="0.25">
      <c r="A661" s="223" t="s">
        <v>553</v>
      </c>
      <c r="B661" s="224" t="s">
        <v>90</v>
      </c>
      <c r="C661" s="224" t="s">
        <v>20</v>
      </c>
      <c r="D661" s="225" t="s">
        <v>554</v>
      </c>
      <c r="E661" s="224" t="s">
        <v>555</v>
      </c>
      <c r="F661" s="224" t="s">
        <v>556</v>
      </c>
      <c r="G661" s="224" t="s">
        <v>177</v>
      </c>
      <c r="H661" s="224" t="s">
        <v>178</v>
      </c>
      <c r="I661" s="224" t="s">
        <v>224</v>
      </c>
      <c r="J661" s="226"/>
      <c r="K661" s="226"/>
      <c r="L661" s="226">
        <v>98081</v>
      </c>
      <c r="M661" s="226">
        <v>98081</v>
      </c>
      <c r="N661" s="224" t="s">
        <v>82</v>
      </c>
      <c r="O661" s="224" t="s">
        <v>214</v>
      </c>
    </row>
    <row r="662" spans="1:15" x14ac:dyDescent="0.25">
      <c r="A662" s="187" t="s">
        <v>769</v>
      </c>
      <c r="B662" s="61" t="s">
        <v>18</v>
      </c>
      <c r="C662" s="61" t="s">
        <v>20</v>
      </c>
      <c r="D662" s="199" t="s">
        <v>937</v>
      </c>
      <c r="E662" s="199" t="s">
        <v>1008</v>
      </c>
      <c r="F662" s="199" t="s">
        <v>1115</v>
      </c>
      <c r="G662" s="224" t="s">
        <v>212</v>
      </c>
      <c r="H662" s="199" t="s">
        <v>1195</v>
      </c>
      <c r="I662" s="199" t="s">
        <v>1277</v>
      </c>
      <c r="J662" s="235">
        <v>21233</v>
      </c>
      <c r="K662" s="211">
        <v>5308</v>
      </c>
      <c r="L662" s="211">
        <v>0</v>
      </c>
      <c r="M662" s="235">
        <v>26541</v>
      </c>
      <c r="N662" s="61" t="s">
        <v>4625</v>
      </c>
      <c r="O662" s="61" t="s">
        <v>124</v>
      </c>
    </row>
    <row r="663" spans="1:15" x14ac:dyDescent="0.25">
      <c r="A663" s="187" t="s">
        <v>769</v>
      </c>
      <c r="B663" s="61" t="s">
        <v>18</v>
      </c>
      <c r="C663" s="61" t="s">
        <v>20</v>
      </c>
      <c r="D663" s="199" t="s">
        <v>937</v>
      </c>
      <c r="E663" s="199" t="s">
        <v>1008</v>
      </c>
      <c r="F663" s="199" t="s">
        <v>1115</v>
      </c>
      <c r="G663" s="7" t="s">
        <v>2345</v>
      </c>
      <c r="H663" s="199" t="s">
        <v>1195</v>
      </c>
      <c r="I663" s="199" t="s">
        <v>1277</v>
      </c>
      <c r="J663" s="235">
        <v>129350</v>
      </c>
      <c r="K663" s="211">
        <v>113196</v>
      </c>
      <c r="L663" s="211">
        <v>0</v>
      </c>
      <c r="M663" s="235">
        <v>242546</v>
      </c>
      <c r="N663" s="61" t="s">
        <v>4625</v>
      </c>
      <c r="O663" s="61" t="s">
        <v>124</v>
      </c>
    </row>
    <row r="664" spans="1:15" x14ac:dyDescent="0.25">
      <c r="A664" s="187" t="s">
        <v>769</v>
      </c>
      <c r="B664" s="61" t="s">
        <v>18</v>
      </c>
      <c r="C664" s="61" t="s">
        <v>20</v>
      </c>
      <c r="D664" s="199" t="s">
        <v>937</v>
      </c>
      <c r="E664" s="199" t="s">
        <v>1008</v>
      </c>
      <c r="F664" s="199" t="s">
        <v>1115</v>
      </c>
      <c r="G664" s="224" t="s">
        <v>212</v>
      </c>
      <c r="H664" s="199" t="s">
        <v>1195</v>
      </c>
      <c r="I664" s="199" t="s">
        <v>1277</v>
      </c>
      <c r="J664" s="235">
        <v>365.99</v>
      </c>
      <c r="K664" s="211">
        <v>91.009999999999991</v>
      </c>
      <c r="L664" s="211">
        <v>0</v>
      </c>
      <c r="M664" s="235">
        <v>457</v>
      </c>
      <c r="N664" s="61" t="s">
        <v>4625</v>
      </c>
      <c r="O664" s="61" t="s">
        <v>124</v>
      </c>
    </row>
    <row r="665" spans="1:15" x14ac:dyDescent="0.25">
      <c r="A665" s="223" t="s">
        <v>557</v>
      </c>
      <c r="B665" s="224" t="s">
        <v>90</v>
      </c>
      <c r="C665" s="224" t="s">
        <v>20</v>
      </c>
      <c r="D665" s="225" t="s">
        <v>558</v>
      </c>
      <c r="E665" s="224" t="s">
        <v>559</v>
      </c>
      <c r="F665" s="224" t="s">
        <v>560</v>
      </c>
      <c r="G665" s="224" t="s">
        <v>212</v>
      </c>
      <c r="H665" s="224" t="s">
        <v>213</v>
      </c>
      <c r="I665" s="224" t="s">
        <v>224</v>
      </c>
      <c r="J665" s="226"/>
      <c r="K665" s="226"/>
      <c r="L665" s="226">
        <v>14638</v>
      </c>
      <c r="M665" s="226">
        <v>14638</v>
      </c>
      <c r="N665" s="224" t="s">
        <v>4625</v>
      </c>
      <c r="O665" s="224" t="s">
        <v>124</v>
      </c>
    </row>
    <row r="666" spans="1:15" x14ac:dyDescent="0.25">
      <c r="A666" s="223" t="s">
        <v>561</v>
      </c>
      <c r="B666" s="224" t="s">
        <v>90</v>
      </c>
      <c r="C666" s="224" t="s">
        <v>20</v>
      </c>
      <c r="D666" s="225" t="s">
        <v>562</v>
      </c>
      <c r="E666" s="224" t="s">
        <v>563</v>
      </c>
      <c r="F666" s="224" t="s">
        <v>564</v>
      </c>
      <c r="G666" s="224" t="s">
        <v>73</v>
      </c>
      <c r="H666" s="224" t="s">
        <v>245</v>
      </c>
      <c r="I666" s="224" t="s">
        <v>224</v>
      </c>
      <c r="J666" s="226"/>
      <c r="K666" s="226"/>
      <c r="L666" s="226">
        <v>28368.06</v>
      </c>
      <c r="M666" s="226">
        <v>28368.06</v>
      </c>
      <c r="N666" s="224" t="s">
        <v>4623</v>
      </c>
      <c r="O666" s="224" t="s">
        <v>124</v>
      </c>
    </row>
    <row r="667" spans="1:15" x14ac:dyDescent="0.25">
      <c r="A667" s="7" t="s">
        <v>4128</v>
      </c>
      <c r="B667" s="7" t="s">
        <v>18</v>
      </c>
      <c r="C667" s="7" t="s">
        <v>20</v>
      </c>
      <c r="D667" s="7" t="s">
        <v>4127</v>
      </c>
      <c r="E667" s="7" t="s">
        <v>4127</v>
      </c>
      <c r="F667" s="7" t="s">
        <v>4126</v>
      </c>
      <c r="G667" s="224" t="s">
        <v>212</v>
      </c>
      <c r="H667" s="7" t="s">
        <v>213</v>
      </c>
      <c r="I667" s="7" t="s">
        <v>2781</v>
      </c>
      <c r="J667" s="209">
        <v>42859</v>
      </c>
      <c r="K667" s="209">
        <v>10714.800000000001</v>
      </c>
      <c r="L667" s="209">
        <v>0</v>
      </c>
      <c r="M667" s="209">
        <v>53574</v>
      </c>
      <c r="N667" s="7" t="s">
        <v>2286</v>
      </c>
      <c r="O667" s="7" t="s">
        <v>124</v>
      </c>
    </row>
    <row r="668" spans="1:15" x14ac:dyDescent="0.25">
      <c r="A668" s="7" t="s">
        <v>3424</v>
      </c>
      <c r="B668" s="7" t="s">
        <v>18</v>
      </c>
      <c r="C668" s="7" t="s">
        <v>20</v>
      </c>
      <c r="D668" s="7" t="s">
        <v>3423</v>
      </c>
      <c r="E668" s="7" t="s">
        <v>3422</v>
      </c>
      <c r="F668" s="7" t="s">
        <v>3421</v>
      </c>
      <c r="G668" s="7" t="s">
        <v>177</v>
      </c>
      <c r="H668" s="7" t="s">
        <v>178</v>
      </c>
      <c r="I668" s="7" t="s">
        <v>2781</v>
      </c>
      <c r="J668" s="209">
        <v>15417</v>
      </c>
      <c r="K668" s="209">
        <v>3854.2000000000003</v>
      </c>
      <c r="L668" s="209">
        <v>0</v>
      </c>
      <c r="M668" s="209">
        <v>19271</v>
      </c>
      <c r="N668" s="7" t="s">
        <v>4616</v>
      </c>
      <c r="O668" s="7" t="s">
        <v>124</v>
      </c>
    </row>
    <row r="669" spans="1:15" x14ac:dyDescent="0.25">
      <c r="A669" s="7" t="s">
        <v>3424</v>
      </c>
      <c r="B669" s="7" t="s">
        <v>18</v>
      </c>
      <c r="C669" s="7" t="s">
        <v>20</v>
      </c>
      <c r="D669" s="7" t="s">
        <v>3423</v>
      </c>
      <c r="E669" s="7" t="s">
        <v>3422</v>
      </c>
      <c r="F669" s="7" t="s">
        <v>3421</v>
      </c>
      <c r="G669" s="7" t="s">
        <v>2345</v>
      </c>
      <c r="H669" s="7" t="s">
        <v>1901</v>
      </c>
      <c r="I669" s="7" t="s">
        <v>2781</v>
      </c>
      <c r="J669" s="209">
        <v>100338</v>
      </c>
      <c r="K669" s="209">
        <v>25084.5</v>
      </c>
      <c r="L669" s="209">
        <v>4494.5</v>
      </c>
      <c r="M669" s="209">
        <v>129917</v>
      </c>
      <c r="N669" s="7" t="s">
        <v>4616</v>
      </c>
      <c r="O669" s="7" t="s">
        <v>124</v>
      </c>
    </row>
    <row r="670" spans="1:15" x14ac:dyDescent="0.25">
      <c r="A670" s="7" t="s">
        <v>2690</v>
      </c>
      <c r="B670" s="7" t="s">
        <v>18</v>
      </c>
      <c r="C670" s="7" t="s">
        <v>20</v>
      </c>
      <c r="D670" s="7" t="s">
        <v>2689</v>
      </c>
      <c r="E670" s="7" t="s">
        <v>2688</v>
      </c>
      <c r="F670" s="7" t="s">
        <v>2687</v>
      </c>
      <c r="G670" s="7" t="s">
        <v>2345</v>
      </c>
      <c r="H670" s="7" t="s">
        <v>1199</v>
      </c>
      <c r="I670" s="7" t="s">
        <v>867</v>
      </c>
      <c r="J670" s="209">
        <v>81259</v>
      </c>
      <c r="K670" s="209">
        <v>34825.35</v>
      </c>
      <c r="L670" s="209">
        <v>0</v>
      </c>
      <c r="M670" s="209">
        <v>116084.5</v>
      </c>
      <c r="N670" s="7" t="s">
        <v>4620</v>
      </c>
      <c r="O670" s="7" t="s">
        <v>124</v>
      </c>
    </row>
    <row r="671" spans="1:15" x14ac:dyDescent="0.25">
      <c r="A671" s="7" t="s">
        <v>2690</v>
      </c>
      <c r="B671" s="7" t="s">
        <v>18</v>
      </c>
      <c r="C671" s="7" t="s">
        <v>20</v>
      </c>
      <c r="D671" s="7" t="s">
        <v>2689</v>
      </c>
      <c r="E671" s="7" t="s">
        <v>2688</v>
      </c>
      <c r="F671" s="7" t="s">
        <v>2687</v>
      </c>
      <c r="G671" s="7" t="s">
        <v>2345</v>
      </c>
      <c r="H671" s="7" t="s">
        <v>1199</v>
      </c>
      <c r="I671" s="7" t="s">
        <v>2581</v>
      </c>
      <c r="J671" s="209">
        <v>86656</v>
      </c>
      <c r="K671" s="209">
        <v>37138.35</v>
      </c>
      <c r="L671" s="209">
        <v>0</v>
      </c>
      <c r="M671" s="209">
        <v>123794.5</v>
      </c>
      <c r="N671" s="7" t="s">
        <v>4620</v>
      </c>
      <c r="O671" s="7" t="s">
        <v>124</v>
      </c>
    </row>
    <row r="672" spans="1:15" x14ac:dyDescent="0.25">
      <c r="A672" s="187" t="s">
        <v>774</v>
      </c>
      <c r="B672" s="61" t="s">
        <v>18</v>
      </c>
      <c r="C672" s="61" t="s">
        <v>20</v>
      </c>
      <c r="D672" s="199" t="s">
        <v>937</v>
      </c>
      <c r="E672" s="199" t="s">
        <v>1011</v>
      </c>
      <c r="F672" s="199" t="s">
        <v>1120</v>
      </c>
      <c r="G672" s="7" t="s">
        <v>2345</v>
      </c>
      <c r="H672" s="7" t="s">
        <v>74</v>
      </c>
      <c r="I672" s="199" t="s">
        <v>2581</v>
      </c>
      <c r="J672" s="235">
        <v>7776</v>
      </c>
      <c r="K672" s="211">
        <v>7035</v>
      </c>
      <c r="L672" s="211">
        <v>0</v>
      </c>
      <c r="M672" s="235">
        <v>14811</v>
      </c>
      <c r="N672" s="61" t="s">
        <v>225</v>
      </c>
      <c r="O672" s="61" t="s">
        <v>125</v>
      </c>
    </row>
    <row r="673" spans="1:15" x14ac:dyDescent="0.25">
      <c r="A673" s="7" t="s">
        <v>2202</v>
      </c>
      <c r="B673" s="7" t="s">
        <v>90</v>
      </c>
      <c r="C673" s="7" t="s">
        <v>20</v>
      </c>
      <c r="D673" s="7" t="s">
        <v>3068</v>
      </c>
      <c r="E673" s="7" t="s">
        <v>329</v>
      </c>
      <c r="F673" s="7" t="s">
        <v>3067</v>
      </c>
      <c r="G673" s="7" t="s">
        <v>177</v>
      </c>
      <c r="H673" s="7" t="s">
        <v>178</v>
      </c>
      <c r="I673" s="7" t="s">
        <v>2284</v>
      </c>
      <c r="J673" s="209">
        <v>200000</v>
      </c>
      <c r="K673" s="209">
        <v>50000</v>
      </c>
      <c r="L673" s="209">
        <v>0</v>
      </c>
      <c r="M673" s="209">
        <v>250000</v>
      </c>
      <c r="N673" s="7" t="s">
        <v>4624</v>
      </c>
      <c r="O673" s="7" t="s">
        <v>124</v>
      </c>
    </row>
    <row r="674" spans="1:15" x14ac:dyDescent="0.25">
      <c r="A674" s="7" t="s">
        <v>2202</v>
      </c>
      <c r="B674" s="7" t="s">
        <v>90</v>
      </c>
      <c r="C674" s="7" t="s">
        <v>20</v>
      </c>
      <c r="D674" s="7" t="s">
        <v>3068</v>
      </c>
      <c r="E674" s="7" t="s">
        <v>329</v>
      </c>
      <c r="F674" s="7" t="s">
        <v>3067</v>
      </c>
      <c r="G674" s="7" t="s">
        <v>2345</v>
      </c>
      <c r="H674" s="7" t="s">
        <v>75</v>
      </c>
      <c r="I674" s="7" t="s">
        <v>2284</v>
      </c>
      <c r="J674" s="209">
        <v>1120000</v>
      </c>
      <c r="K674" s="209">
        <v>280000</v>
      </c>
      <c r="L674" s="209">
        <v>150000</v>
      </c>
      <c r="M674" s="209">
        <v>1550000</v>
      </c>
      <c r="N674" s="7" t="s">
        <v>4624</v>
      </c>
      <c r="O674" s="7" t="s">
        <v>124</v>
      </c>
    </row>
    <row r="675" spans="1:15" x14ac:dyDescent="0.25">
      <c r="A675" s="187" t="s">
        <v>781</v>
      </c>
      <c r="B675" s="61" t="s">
        <v>90</v>
      </c>
      <c r="C675" s="61" t="s">
        <v>20</v>
      </c>
      <c r="D675" s="199" t="s">
        <v>539</v>
      </c>
      <c r="E675" s="199" t="s">
        <v>1018</v>
      </c>
      <c r="F675" s="199" t="s">
        <v>1126</v>
      </c>
      <c r="G675" s="7" t="s">
        <v>2345</v>
      </c>
      <c r="H675" s="7" t="s">
        <v>651</v>
      </c>
      <c r="I675" s="199" t="s">
        <v>1277</v>
      </c>
      <c r="J675" s="235">
        <v>23015</v>
      </c>
      <c r="K675" s="211">
        <v>5754</v>
      </c>
      <c r="L675" s="211">
        <v>0</v>
      </c>
      <c r="M675" s="235">
        <v>28769</v>
      </c>
      <c r="N675" s="61" t="s">
        <v>4625</v>
      </c>
      <c r="O675" s="61" t="s">
        <v>125</v>
      </c>
    </row>
    <row r="676" spans="1:15" x14ac:dyDescent="0.25">
      <c r="A676" s="187" t="s">
        <v>784</v>
      </c>
      <c r="B676" s="61" t="s">
        <v>18</v>
      </c>
      <c r="C676" s="61" t="s">
        <v>20</v>
      </c>
      <c r="D676" s="199" t="s">
        <v>551</v>
      </c>
      <c r="E676" s="199" t="s">
        <v>1020</v>
      </c>
      <c r="F676" s="199" t="s">
        <v>1129</v>
      </c>
      <c r="G676" s="7" t="s">
        <v>2345</v>
      </c>
      <c r="H676" s="199" t="s">
        <v>4730</v>
      </c>
      <c r="I676" s="199" t="s">
        <v>2284</v>
      </c>
      <c r="J676" s="235">
        <v>40000</v>
      </c>
      <c r="K676" s="211">
        <v>10000</v>
      </c>
      <c r="L676" s="211">
        <v>0</v>
      </c>
      <c r="M676" s="235">
        <v>50000</v>
      </c>
      <c r="N676" s="61" t="s">
        <v>4616</v>
      </c>
      <c r="O676" s="61" t="s">
        <v>126</v>
      </c>
    </row>
    <row r="677" spans="1:15" x14ac:dyDescent="0.25">
      <c r="A677" s="7" t="s">
        <v>3220</v>
      </c>
      <c r="B677" s="7" t="s">
        <v>18</v>
      </c>
      <c r="C677" s="7" t="s">
        <v>20</v>
      </c>
      <c r="D677" s="7" t="s">
        <v>551</v>
      </c>
      <c r="E677" s="7" t="s">
        <v>3219</v>
      </c>
      <c r="F677" s="7" t="s">
        <v>3218</v>
      </c>
      <c r="G677" s="7" t="s">
        <v>2345</v>
      </c>
      <c r="H677" s="7" t="s">
        <v>123</v>
      </c>
      <c r="I677" s="7" t="s">
        <v>2581</v>
      </c>
      <c r="J677" s="209">
        <v>2421137</v>
      </c>
      <c r="K677" s="209">
        <v>605284.4</v>
      </c>
      <c r="L677" s="209">
        <v>0</v>
      </c>
      <c r="M677" s="209">
        <v>3026422</v>
      </c>
      <c r="N677" s="7" t="s">
        <v>225</v>
      </c>
      <c r="O677" s="7" t="s">
        <v>125</v>
      </c>
    </row>
    <row r="678" spans="1:15" x14ac:dyDescent="0.25">
      <c r="A678" s="7" t="s">
        <v>3220</v>
      </c>
      <c r="B678" s="7" t="s">
        <v>18</v>
      </c>
      <c r="C678" s="7" t="s">
        <v>20</v>
      </c>
      <c r="D678" s="7" t="s">
        <v>551</v>
      </c>
      <c r="E678" s="7" t="s">
        <v>3219</v>
      </c>
      <c r="F678" s="7" t="s">
        <v>3218</v>
      </c>
      <c r="G678" s="7" t="s">
        <v>177</v>
      </c>
      <c r="H678" s="7" t="s">
        <v>178</v>
      </c>
      <c r="I678" s="7" t="s">
        <v>2581</v>
      </c>
      <c r="J678" s="209">
        <v>360706</v>
      </c>
      <c r="K678" s="209">
        <v>90176.400000000009</v>
      </c>
      <c r="L678" s="209">
        <v>0</v>
      </c>
      <c r="M678" s="209">
        <v>450882</v>
      </c>
      <c r="N678" s="7" t="s">
        <v>225</v>
      </c>
      <c r="O678" s="7" t="s">
        <v>125</v>
      </c>
    </row>
    <row r="679" spans="1:15" x14ac:dyDescent="0.25">
      <c r="A679" s="7" t="s">
        <v>3360</v>
      </c>
      <c r="B679" s="7" t="s">
        <v>90</v>
      </c>
      <c r="C679" s="7" t="s">
        <v>20</v>
      </c>
      <c r="D679" s="7" t="s">
        <v>19</v>
      </c>
      <c r="E679" s="7" t="s">
        <v>3359</v>
      </c>
      <c r="F679" s="7" t="s">
        <v>3358</v>
      </c>
      <c r="G679" s="8" t="s">
        <v>73</v>
      </c>
      <c r="H679" s="7" t="s">
        <v>245</v>
      </c>
      <c r="I679" s="7" t="s">
        <v>2284</v>
      </c>
      <c r="J679" s="209">
        <v>276000</v>
      </c>
      <c r="K679" s="209">
        <v>69000</v>
      </c>
      <c r="L679" s="209">
        <v>0</v>
      </c>
      <c r="M679" s="209">
        <v>345000</v>
      </c>
      <c r="N679" s="7" t="s">
        <v>4624</v>
      </c>
      <c r="O679" s="7" t="s">
        <v>124</v>
      </c>
    </row>
    <row r="680" spans="1:15" x14ac:dyDescent="0.25">
      <c r="A680" s="7" t="s">
        <v>2212</v>
      </c>
      <c r="B680" s="7" t="s">
        <v>18</v>
      </c>
      <c r="C680" s="7" t="s">
        <v>20</v>
      </c>
      <c r="D680" s="7" t="s">
        <v>539</v>
      </c>
      <c r="E680" s="7" t="s">
        <v>2214</v>
      </c>
      <c r="F680" s="7" t="s">
        <v>3708</v>
      </c>
      <c r="G680" s="7" t="s">
        <v>177</v>
      </c>
      <c r="H680" s="7" t="s">
        <v>178</v>
      </c>
      <c r="I680" s="7" t="s">
        <v>2284</v>
      </c>
      <c r="J680" s="209">
        <v>51826</v>
      </c>
      <c r="K680" s="209">
        <v>12956.6</v>
      </c>
      <c r="L680" s="209">
        <v>0</v>
      </c>
      <c r="M680" s="209">
        <v>64783</v>
      </c>
      <c r="N680" s="7" t="s">
        <v>4620</v>
      </c>
      <c r="O680" s="7" t="s">
        <v>124</v>
      </c>
    </row>
    <row r="681" spans="1:15" x14ac:dyDescent="0.25">
      <c r="A681" s="7" t="s">
        <v>2212</v>
      </c>
      <c r="B681" s="7" t="s">
        <v>18</v>
      </c>
      <c r="C681" s="7" t="s">
        <v>20</v>
      </c>
      <c r="D681" s="7" t="s">
        <v>539</v>
      </c>
      <c r="E681" s="7" t="s">
        <v>2214</v>
      </c>
      <c r="F681" s="7" t="s">
        <v>3708</v>
      </c>
      <c r="G681" s="7" t="s">
        <v>2345</v>
      </c>
      <c r="H681" s="7" t="s">
        <v>1199</v>
      </c>
      <c r="I681" s="7" t="s">
        <v>2284</v>
      </c>
      <c r="J681" s="209">
        <v>485978</v>
      </c>
      <c r="K681" s="209">
        <v>121494.6</v>
      </c>
      <c r="L681" s="209">
        <v>0</v>
      </c>
      <c r="M681" s="209">
        <v>607473</v>
      </c>
      <c r="N681" s="7" t="s">
        <v>4620</v>
      </c>
      <c r="O681" s="7" t="s">
        <v>124</v>
      </c>
    </row>
    <row r="682" spans="1:15" x14ac:dyDescent="0.25">
      <c r="A682" s="7" t="s">
        <v>3285</v>
      </c>
      <c r="B682" s="7" t="s">
        <v>90</v>
      </c>
      <c r="C682" s="7" t="s">
        <v>20</v>
      </c>
      <c r="D682" s="7" t="s">
        <v>2689</v>
      </c>
      <c r="E682" s="7" t="s">
        <v>3284</v>
      </c>
      <c r="F682" s="7" t="s">
        <v>3283</v>
      </c>
      <c r="G682" s="224" t="s">
        <v>212</v>
      </c>
      <c r="H682" s="7" t="s">
        <v>213</v>
      </c>
      <c r="I682" s="7" t="s">
        <v>1277</v>
      </c>
      <c r="J682" s="209">
        <v>112472</v>
      </c>
      <c r="K682" s="209">
        <v>28118</v>
      </c>
      <c r="L682" s="209">
        <v>0</v>
      </c>
      <c r="M682" s="209">
        <v>140590</v>
      </c>
      <c r="N682" s="7" t="s">
        <v>4625</v>
      </c>
      <c r="O682" s="7" t="s">
        <v>125</v>
      </c>
    </row>
    <row r="683" spans="1:15" x14ac:dyDescent="0.25">
      <c r="A683" s="7" t="s">
        <v>3880</v>
      </c>
      <c r="B683" s="7" t="s">
        <v>18</v>
      </c>
      <c r="C683" s="7" t="s">
        <v>20</v>
      </c>
      <c r="D683" s="7" t="s">
        <v>2689</v>
      </c>
      <c r="E683" s="7" t="s">
        <v>3879</v>
      </c>
      <c r="F683" s="7" t="s">
        <v>3878</v>
      </c>
      <c r="G683" s="7" t="s">
        <v>177</v>
      </c>
      <c r="H683" s="7" t="s">
        <v>178</v>
      </c>
      <c r="I683" s="7" t="s">
        <v>2581</v>
      </c>
      <c r="J683" s="209">
        <v>171137</v>
      </c>
      <c r="K683" s="209">
        <v>60986</v>
      </c>
      <c r="L683" s="209">
        <v>72807</v>
      </c>
      <c r="M683" s="209">
        <v>304930</v>
      </c>
      <c r="N683" s="7" t="s">
        <v>79</v>
      </c>
      <c r="O683" s="7" t="s">
        <v>124</v>
      </c>
    </row>
    <row r="684" spans="1:15" x14ac:dyDescent="0.25">
      <c r="A684" s="7" t="s">
        <v>3880</v>
      </c>
      <c r="B684" s="7" t="s">
        <v>18</v>
      </c>
      <c r="C684" s="7" t="s">
        <v>20</v>
      </c>
      <c r="D684" s="7" t="s">
        <v>2689</v>
      </c>
      <c r="E684" s="7" t="s">
        <v>3879</v>
      </c>
      <c r="F684" s="7" t="s">
        <v>3878</v>
      </c>
      <c r="G684" s="7" t="s">
        <v>2345</v>
      </c>
      <c r="H684" s="7" t="s">
        <v>123</v>
      </c>
      <c r="I684" s="7" t="s">
        <v>2581</v>
      </c>
      <c r="J684" s="209">
        <v>1436183</v>
      </c>
      <c r="K684" s="209">
        <v>359045.75</v>
      </c>
      <c r="L684" s="209">
        <v>691000.25</v>
      </c>
      <c r="M684" s="209">
        <v>2486229</v>
      </c>
      <c r="N684" s="7" t="s">
        <v>79</v>
      </c>
      <c r="O684" s="7" t="s">
        <v>124</v>
      </c>
    </row>
    <row r="685" spans="1:15" x14ac:dyDescent="0.25">
      <c r="A685" s="187" t="s">
        <v>856</v>
      </c>
      <c r="B685" s="61" t="s">
        <v>18</v>
      </c>
      <c r="C685" s="61" t="s">
        <v>20</v>
      </c>
      <c r="D685" s="199" t="s">
        <v>518</v>
      </c>
      <c r="E685" s="199" t="s">
        <v>4655</v>
      </c>
      <c r="F685" s="199" t="s">
        <v>4656</v>
      </c>
      <c r="G685" s="7" t="s">
        <v>117</v>
      </c>
      <c r="H685" s="199" t="s">
        <v>1208</v>
      </c>
      <c r="I685" s="199" t="s">
        <v>2715</v>
      </c>
      <c r="J685" s="235">
        <v>10880</v>
      </c>
      <c r="K685" s="211">
        <v>2720</v>
      </c>
      <c r="L685" s="211">
        <v>0</v>
      </c>
      <c r="M685" s="235">
        <v>13600</v>
      </c>
      <c r="N685" s="61" t="s">
        <v>82</v>
      </c>
      <c r="O685" s="61" t="s">
        <v>124</v>
      </c>
    </row>
    <row r="686" spans="1:15" x14ac:dyDescent="0.25">
      <c r="A686" s="7" t="s">
        <v>2848</v>
      </c>
      <c r="B686" s="7" t="s">
        <v>18</v>
      </c>
      <c r="C686" s="7" t="s">
        <v>20</v>
      </c>
      <c r="D686" s="7" t="s">
        <v>2847</v>
      </c>
      <c r="E686" s="7" t="s">
        <v>41</v>
      </c>
      <c r="F686" s="7" t="s">
        <v>2847</v>
      </c>
      <c r="G686" s="7" t="s">
        <v>2345</v>
      </c>
      <c r="H686" s="7" t="s">
        <v>4722</v>
      </c>
      <c r="I686" s="7" t="s">
        <v>2653</v>
      </c>
      <c r="J686" s="209">
        <v>422737</v>
      </c>
      <c r="K686" s="209">
        <v>105684.20000000001</v>
      </c>
      <c r="L686" s="209">
        <v>0</v>
      </c>
      <c r="M686" s="209">
        <v>528421</v>
      </c>
      <c r="N686" s="7" t="s">
        <v>4623</v>
      </c>
      <c r="O686" s="7" t="s">
        <v>124</v>
      </c>
    </row>
    <row r="687" spans="1:15" x14ac:dyDescent="0.25">
      <c r="A687" s="7" t="s">
        <v>2848</v>
      </c>
      <c r="B687" s="7" t="s">
        <v>18</v>
      </c>
      <c r="C687" s="7" t="s">
        <v>20</v>
      </c>
      <c r="D687" s="7" t="s">
        <v>2847</v>
      </c>
      <c r="E687" s="7" t="s">
        <v>41</v>
      </c>
      <c r="F687" s="7" t="s">
        <v>2847</v>
      </c>
      <c r="G687" s="7" t="s">
        <v>177</v>
      </c>
      <c r="H687" s="7" t="s">
        <v>178</v>
      </c>
      <c r="I687" s="7" t="s">
        <v>2653</v>
      </c>
      <c r="J687" s="209">
        <v>49043</v>
      </c>
      <c r="K687" s="209">
        <v>12260.800000000001</v>
      </c>
      <c r="L687" s="209">
        <v>0</v>
      </c>
      <c r="M687" s="209">
        <v>61304</v>
      </c>
      <c r="N687" s="7" t="s">
        <v>4623</v>
      </c>
      <c r="O687" s="7" t="s">
        <v>124</v>
      </c>
    </row>
    <row r="688" spans="1:15" x14ac:dyDescent="0.25">
      <c r="A688" s="7" t="s">
        <v>3814</v>
      </c>
      <c r="B688" s="7" t="s">
        <v>18</v>
      </c>
      <c r="C688" s="7" t="s">
        <v>20</v>
      </c>
      <c r="D688" s="7" t="s">
        <v>3813</v>
      </c>
      <c r="E688" s="7" t="s">
        <v>41</v>
      </c>
      <c r="F688" s="7" t="s">
        <v>3812</v>
      </c>
      <c r="G688" s="7" t="s">
        <v>2345</v>
      </c>
      <c r="H688" s="7" t="s">
        <v>74</v>
      </c>
      <c r="I688" s="7" t="s">
        <v>2581</v>
      </c>
      <c r="J688" s="209">
        <v>745701</v>
      </c>
      <c r="K688" s="209">
        <v>186424.80000000002</v>
      </c>
      <c r="L688" s="209">
        <v>0</v>
      </c>
      <c r="M688" s="209">
        <v>932124</v>
      </c>
      <c r="N688" s="7" t="s">
        <v>225</v>
      </c>
      <c r="O688" s="7" t="s">
        <v>125</v>
      </c>
    </row>
    <row r="689" spans="1:15" x14ac:dyDescent="0.25">
      <c r="A689" s="7" t="s">
        <v>3814</v>
      </c>
      <c r="B689" s="7" t="s">
        <v>18</v>
      </c>
      <c r="C689" s="7" t="s">
        <v>20</v>
      </c>
      <c r="D689" s="7" t="s">
        <v>3813</v>
      </c>
      <c r="E689" s="7" t="s">
        <v>41</v>
      </c>
      <c r="F689" s="7" t="s">
        <v>3812</v>
      </c>
      <c r="G689" s="7" t="s">
        <v>177</v>
      </c>
      <c r="H689" s="7" t="s">
        <v>178</v>
      </c>
      <c r="I689" s="7" t="s">
        <v>2581</v>
      </c>
      <c r="J689" s="209">
        <v>107301</v>
      </c>
      <c r="K689" s="209">
        <v>26826</v>
      </c>
      <c r="L689" s="209">
        <v>0</v>
      </c>
      <c r="M689" s="209">
        <v>134130</v>
      </c>
      <c r="N689" s="7" t="s">
        <v>225</v>
      </c>
      <c r="O689" s="7" t="s">
        <v>125</v>
      </c>
    </row>
    <row r="690" spans="1:15" x14ac:dyDescent="0.25">
      <c r="A690" s="7" t="s">
        <v>3242</v>
      </c>
      <c r="B690" s="7" t="s">
        <v>18</v>
      </c>
      <c r="C690" s="7" t="s">
        <v>20</v>
      </c>
      <c r="D690" s="7" t="s">
        <v>3241</v>
      </c>
      <c r="E690" s="7" t="s">
        <v>41</v>
      </c>
      <c r="F690" s="7" t="s">
        <v>3240</v>
      </c>
      <c r="G690" s="7" t="s">
        <v>2345</v>
      </c>
      <c r="H690" s="7" t="s">
        <v>74</v>
      </c>
      <c r="I690" s="7" t="s">
        <v>2581</v>
      </c>
      <c r="J690" s="209">
        <v>463903</v>
      </c>
      <c r="K690" s="209">
        <v>115975.8</v>
      </c>
      <c r="L690" s="209">
        <v>0</v>
      </c>
      <c r="M690" s="209">
        <v>579879</v>
      </c>
      <c r="N690" s="7" t="s">
        <v>225</v>
      </c>
      <c r="O690" s="7" t="s">
        <v>125</v>
      </c>
    </row>
    <row r="691" spans="1:15" x14ac:dyDescent="0.25">
      <c r="A691" s="7" t="s">
        <v>3242</v>
      </c>
      <c r="B691" s="7" t="s">
        <v>18</v>
      </c>
      <c r="C691" s="7" t="s">
        <v>20</v>
      </c>
      <c r="D691" s="7" t="s">
        <v>3241</v>
      </c>
      <c r="E691" s="7" t="s">
        <v>41</v>
      </c>
      <c r="F691" s="7" t="s">
        <v>3240</v>
      </c>
      <c r="G691" s="7" t="s">
        <v>177</v>
      </c>
      <c r="H691" s="7" t="s">
        <v>178</v>
      </c>
      <c r="I691" s="7" t="s">
        <v>2581</v>
      </c>
      <c r="J691" s="209">
        <v>65338</v>
      </c>
      <c r="K691" s="209">
        <v>16334.6</v>
      </c>
      <c r="L691" s="209">
        <v>0</v>
      </c>
      <c r="M691" s="209">
        <v>81673</v>
      </c>
      <c r="N691" s="7" t="s">
        <v>225</v>
      </c>
      <c r="O691" s="7" t="s">
        <v>125</v>
      </c>
    </row>
    <row r="692" spans="1:15" x14ac:dyDescent="0.25">
      <c r="A692" s="7" t="s">
        <v>4400</v>
      </c>
      <c r="B692" s="7" t="s">
        <v>18</v>
      </c>
      <c r="C692" s="7" t="s">
        <v>20</v>
      </c>
      <c r="D692" s="7" t="s">
        <v>19</v>
      </c>
      <c r="E692" s="7" t="s">
        <v>4399</v>
      </c>
      <c r="F692" s="7" t="s">
        <v>3510</v>
      </c>
      <c r="G692" s="7" t="s">
        <v>117</v>
      </c>
      <c r="H692" s="7" t="s">
        <v>119</v>
      </c>
      <c r="I692" s="7" t="s">
        <v>1277</v>
      </c>
      <c r="J692" s="209">
        <v>77714</v>
      </c>
      <c r="K692" s="209">
        <v>19428.400000000001</v>
      </c>
      <c r="L692" s="209">
        <v>0</v>
      </c>
      <c r="M692" s="209">
        <v>97142</v>
      </c>
      <c r="N692" s="7" t="s">
        <v>4625</v>
      </c>
      <c r="O692" s="7" t="s">
        <v>125</v>
      </c>
    </row>
    <row r="693" spans="1:15" x14ac:dyDescent="0.25">
      <c r="A693" s="7" t="s">
        <v>4224</v>
      </c>
      <c r="B693" s="7" t="s">
        <v>18</v>
      </c>
      <c r="C693" s="7" t="s">
        <v>20</v>
      </c>
      <c r="D693" s="7" t="s">
        <v>2847</v>
      </c>
      <c r="E693" s="7" t="s">
        <v>3022</v>
      </c>
      <c r="F693" s="7" t="s">
        <v>4223</v>
      </c>
      <c r="G693" s="7" t="s">
        <v>117</v>
      </c>
      <c r="H693" s="7" t="s">
        <v>119</v>
      </c>
      <c r="I693" s="7" t="s">
        <v>2581</v>
      </c>
      <c r="J693" s="209">
        <v>119210</v>
      </c>
      <c r="K693" s="209">
        <v>29802.400000000001</v>
      </c>
      <c r="L693" s="209">
        <v>0</v>
      </c>
      <c r="M693" s="209">
        <v>149012</v>
      </c>
      <c r="N693" s="7" t="s">
        <v>79</v>
      </c>
      <c r="O693" s="7" t="s">
        <v>124</v>
      </c>
    </row>
    <row r="694" spans="1:15" x14ac:dyDescent="0.25">
      <c r="A694" s="7" t="s">
        <v>3112</v>
      </c>
      <c r="B694" s="7" t="s">
        <v>18</v>
      </c>
      <c r="C694" s="7" t="s">
        <v>20</v>
      </c>
      <c r="D694" s="7" t="s">
        <v>19</v>
      </c>
      <c r="E694" s="7" t="s">
        <v>3111</v>
      </c>
      <c r="F694" s="7" t="s">
        <v>3110</v>
      </c>
      <c r="G694" s="7" t="s">
        <v>177</v>
      </c>
      <c r="H694" s="7" t="s">
        <v>178</v>
      </c>
      <c r="I694" s="7" t="s">
        <v>2715</v>
      </c>
      <c r="J694" s="209">
        <v>236820</v>
      </c>
      <c r="K694" s="209">
        <v>59205</v>
      </c>
      <c r="L694" s="209">
        <v>0</v>
      </c>
      <c r="M694" s="209">
        <v>296025</v>
      </c>
      <c r="N694" s="7" t="s">
        <v>4616</v>
      </c>
      <c r="O694" s="7" t="s">
        <v>126</v>
      </c>
    </row>
    <row r="695" spans="1:15" x14ac:dyDescent="0.25">
      <c r="A695" s="7" t="s">
        <v>3112</v>
      </c>
      <c r="B695" s="7" t="s">
        <v>18</v>
      </c>
      <c r="C695" s="7" t="s">
        <v>20</v>
      </c>
      <c r="D695" s="7" t="s">
        <v>19</v>
      </c>
      <c r="E695" s="7" t="s">
        <v>3111</v>
      </c>
      <c r="F695" s="7" t="s">
        <v>3110</v>
      </c>
      <c r="G695" s="7" t="s">
        <v>2345</v>
      </c>
      <c r="H695" s="7" t="s">
        <v>1901</v>
      </c>
      <c r="I695" s="7" t="s">
        <v>2715</v>
      </c>
      <c r="J695" s="209">
        <v>1813000</v>
      </c>
      <c r="K695" s="209">
        <v>453250</v>
      </c>
      <c r="L695" s="209">
        <v>0</v>
      </c>
      <c r="M695" s="209">
        <v>2266250</v>
      </c>
      <c r="N695" s="7" t="s">
        <v>4616</v>
      </c>
      <c r="O695" s="7" t="s">
        <v>126</v>
      </c>
    </row>
    <row r="696" spans="1:15" x14ac:dyDescent="0.25">
      <c r="A696" s="7" t="s">
        <v>2928</v>
      </c>
      <c r="B696" s="7" t="s">
        <v>18</v>
      </c>
      <c r="C696" s="7" t="s">
        <v>20</v>
      </c>
      <c r="D696" s="7" t="s">
        <v>2927</v>
      </c>
      <c r="E696" s="7" t="s">
        <v>2926</v>
      </c>
      <c r="F696" s="7" t="s">
        <v>2925</v>
      </c>
      <c r="G696" s="7" t="s">
        <v>2345</v>
      </c>
      <c r="H696" s="7" t="s">
        <v>74</v>
      </c>
      <c r="I696" s="7" t="s">
        <v>2581</v>
      </c>
      <c r="J696" s="209">
        <v>117280</v>
      </c>
      <c r="K696" s="209">
        <v>29320</v>
      </c>
      <c r="L696" s="209">
        <v>0</v>
      </c>
      <c r="M696" s="209">
        <v>146600</v>
      </c>
      <c r="N696" s="7" t="s">
        <v>225</v>
      </c>
      <c r="O696" s="7" t="s">
        <v>125</v>
      </c>
    </row>
    <row r="697" spans="1:15" x14ac:dyDescent="0.25">
      <c r="A697" s="7" t="s">
        <v>2928</v>
      </c>
      <c r="B697" s="7" t="s">
        <v>18</v>
      </c>
      <c r="C697" s="7" t="s">
        <v>20</v>
      </c>
      <c r="D697" s="7" t="s">
        <v>2927</v>
      </c>
      <c r="E697" s="7" t="s">
        <v>2926</v>
      </c>
      <c r="F697" s="7" t="s">
        <v>2925</v>
      </c>
      <c r="G697" s="7" t="s">
        <v>177</v>
      </c>
      <c r="H697" s="7" t="s">
        <v>178</v>
      </c>
      <c r="I697" s="7" t="s">
        <v>2581</v>
      </c>
      <c r="J697" s="209">
        <v>17426</v>
      </c>
      <c r="K697" s="209">
        <v>4356.5</v>
      </c>
      <c r="L697" s="209">
        <v>0</v>
      </c>
      <c r="M697" s="209">
        <v>21783</v>
      </c>
      <c r="N697" s="7" t="s">
        <v>225</v>
      </c>
      <c r="O697" s="7" t="s">
        <v>125</v>
      </c>
    </row>
    <row r="698" spans="1:15" x14ac:dyDescent="0.25">
      <c r="A698" s="7" t="s">
        <v>3925</v>
      </c>
      <c r="B698" s="7" t="s">
        <v>18</v>
      </c>
      <c r="C698" s="7" t="s">
        <v>20</v>
      </c>
      <c r="D698" s="7" t="s">
        <v>3924</v>
      </c>
      <c r="E698" s="7" t="s">
        <v>3923</v>
      </c>
      <c r="F698" s="7" t="s">
        <v>3922</v>
      </c>
      <c r="G698" s="7" t="s">
        <v>117</v>
      </c>
      <c r="H698" s="7" t="s">
        <v>119</v>
      </c>
      <c r="I698" s="7" t="s">
        <v>1277</v>
      </c>
      <c r="J698" s="209">
        <v>119968</v>
      </c>
      <c r="K698" s="209">
        <v>29992</v>
      </c>
      <c r="L698" s="209">
        <v>0</v>
      </c>
      <c r="M698" s="209">
        <v>149960</v>
      </c>
      <c r="N698" s="7" t="s">
        <v>4625</v>
      </c>
      <c r="O698" s="7" t="s">
        <v>124</v>
      </c>
    </row>
    <row r="699" spans="1:15" x14ac:dyDescent="0.25">
      <c r="A699" s="7" t="s">
        <v>3023</v>
      </c>
      <c r="B699" s="7" t="s">
        <v>18</v>
      </c>
      <c r="C699" s="7" t="s">
        <v>20</v>
      </c>
      <c r="D699" s="7" t="s">
        <v>2847</v>
      </c>
      <c r="E699" s="7" t="s">
        <v>3022</v>
      </c>
      <c r="F699" s="7" t="s">
        <v>3021</v>
      </c>
      <c r="G699" s="7" t="s">
        <v>177</v>
      </c>
      <c r="H699" s="7" t="s">
        <v>178</v>
      </c>
      <c r="I699" s="7" t="s">
        <v>2619</v>
      </c>
      <c r="J699" s="209">
        <v>27000</v>
      </c>
      <c r="K699" s="209">
        <v>3000</v>
      </c>
      <c r="L699" s="209">
        <v>0</v>
      </c>
      <c r="M699" s="209">
        <v>30000</v>
      </c>
      <c r="N699" s="7" t="s">
        <v>624</v>
      </c>
      <c r="O699" s="7" t="s">
        <v>124</v>
      </c>
    </row>
    <row r="700" spans="1:15" x14ac:dyDescent="0.25">
      <c r="A700" s="7" t="s">
        <v>3023</v>
      </c>
      <c r="B700" s="7" t="s">
        <v>18</v>
      </c>
      <c r="C700" s="7" t="s">
        <v>20</v>
      </c>
      <c r="D700" s="7" t="s">
        <v>2847</v>
      </c>
      <c r="E700" s="7" t="s">
        <v>3022</v>
      </c>
      <c r="F700" s="7" t="s">
        <v>3021</v>
      </c>
      <c r="G700" s="7" t="s">
        <v>2345</v>
      </c>
      <c r="H700" s="7" t="s">
        <v>3020</v>
      </c>
      <c r="I700" s="7" t="s">
        <v>2619</v>
      </c>
      <c r="J700" s="209">
        <v>243000</v>
      </c>
      <c r="K700" s="209">
        <v>27000</v>
      </c>
      <c r="L700" s="209">
        <v>0</v>
      </c>
      <c r="M700" s="209">
        <v>270000</v>
      </c>
      <c r="N700" s="7" t="s">
        <v>624</v>
      </c>
      <c r="O700" s="7" t="s">
        <v>124</v>
      </c>
    </row>
    <row r="701" spans="1:15" x14ac:dyDescent="0.25">
      <c r="A701" s="7" t="s">
        <v>3339</v>
      </c>
      <c r="B701" s="7" t="s">
        <v>18</v>
      </c>
      <c r="C701" s="7" t="s">
        <v>20</v>
      </c>
      <c r="D701" s="7" t="s">
        <v>19</v>
      </c>
      <c r="E701" s="7" t="s">
        <v>3338</v>
      </c>
      <c r="F701" s="7" t="s">
        <v>3337</v>
      </c>
      <c r="G701" s="7" t="s">
        <v>2345</v>
      </c>
      <c r="H701" s="7" t="s">
        <v>3336</v>
      </c>
      <c r="I701" s="7" t="s">
        <v>3316</v>
      </c>
      <c r="J701" s="209">
        <v>200000</v>
      </c>
      <c r="K701" s="209">
        <v>50000</v>
      </c>
      <c r="L701" s="209">
        <v>1034000</v>
      </c>
      <c r="M701" s="209">
        <v>1284000</v>
      </c>
      <c r="N701" s="7" t="s">
        <v>4616</v>
      </c>
      <c r="O701" s="7" t="s">
        <v>124</v>
      </c>
    </row>
    <row r="702" spans="1:15" x14ac:dyDescent="0.25">
      <c r="A702" s="7" t="s">
        <v>3782</v>
      </c>
      <c r="B702" s="7" t="s">
        <v>18</v>
      </c>
      <c r="C702" s="7" t="s">
        <v>20</v>
      </c>
      <c r="D702" s="7" t="s">
        <v>2847</v>
      </c>
      <c r="E702" s="7" t="s">
        <v>3422</v>
      </c>
      <c r="F702" s="7" t="s">
        <v>3781</v>
      </c>
      <c r="G702" s="7" t="s">
        <v>2345</v>
      </c>
      <c r="H702" s="7" t="s">
        <v>3780</v>
      </c>
      <c r="I702" s="7" t="s">
        <v>2781</v>
      </c>
      <c r="J702" s="209">
        <v>172400</v>
      </c>
      <c r="K702" s="209">
        <v>43100</v>
      </c>
      <c r="L702" s="209">
        <v>146590</v>
      </c>
      <c r="M702" s="209">
        <v>362090</v>
      </c>
      <c r="N702" s="7" t="s">
        <v>323</v>
      </c>
      <c r="O702" s="7" t="s">
        <v>124</v>
      </c>
    </row>
    <row r="703" spans="1:15" x14ac:dyDescent="0.25">
      <c r="A703" s="7" t="s">
        <v>258</v>
      </c>
      <c r="B703" s="7" t="s">
        <v>90</v>
      </c>
      <c r="C703" s="7" t="s">
        <v>20</v>
      </c>
      <c r="D703" s="7" t="s">
        <v>259</v>
      </c>
      <c r="E703" s="7" t="s">
        <v>254</v>
      </c>
      <c r="F703" s="7" t="s">
        <v>3722</v>
      </c>
      <c r="G703" s="7" t="s">
        <v>177</v>
      </c>
      <c r="H703" s="7" t="s">
        <v>178</v>
      </c>
      <c r="I703" s="7" t="s">
        <v>1275</v>
      </c>
      <c r="J703" s="209">
        <v>1942400</v>
      </c>
      <c r="K703" s="209">
        <v>485600</v>
      </c>
      <c r="L703" s="209">
        <v>0</v>
      </c>
      <c r="M703" s="209">
        <v>2428000</v>
      </c>
      <c r="N703" s="7" t="s">
        <v>4625</v>
      </c>
      <c r="O703" s="7" t="s">
        <v>125</v>
      </c>
    </row>
    <row r="704" spans="1:15" x14ac:dyDescent="0.25">
      <c r="A704" s="7" t="s">
        <v>258</v>
      </c>
      <c r="B704" s="7" t="s">
        <v>90</v>
      </c>
      <c r="C704" s="7" t="s">
        <v>20</v>
      </c>
      <c r="D704" s="7" t="s">
        <v>259</v>
      </c>
      <c r="E704" s="7" t="s">
        <v>3402</v>
      </c>
      <c r="F704" s="7" t="s">
        <v>3401</v>
      </c>
      <c r="G704" s="7" t="s">
        <v>177</v>
      </c>
      <c r="H704" s="7" t="s">
        <v>178</v>
      </c>
      <c r="I704" s="7" t="s">
        <v>1275</v>
      </c>
      <c r="J704" s="209">
        <v>55200</v>
      </c>
      <c r="K704" s="209">
        <v>13800</v>
      </c>
      <c r="L704" s="209">
        <v>0</v>
      </c>
      <c r="M704" s="209">
        <v>69000</v>
      </c>
      <c r="N704" s="7" t="s">
        <v>4624</v>
      </c>
      <c r="O704" s="7" t="s">
        <v>124</v>
      </c>
    </row>
    <row r="705" spans="1:15" x14ac:dyDescent="0.25">
      <c r="A705" s="7" t="s">
        <v>258</v>
      </c>
      <c r="B705" s="7" t="s">
        <v>90</v>
      </c>
      <c r="C705" s="7" t="s">
        <v>20</v>
      </c>
      <c r="D705" s="7" t="s">
        <v>259</v>
      </c>
      <c r="E705" s="7" t="s">
        <v>254</v>
      </c>
      <c r="F705" s="7" t="s">
        <v>3722</v>
      </c>
      <c r="G705" s="7" t="s">
        <v>2345</v>
      </c>
      <c r="H705" s="7" t="s">
        <v>1195</v>
      </c>
      <c r="I705" s="7" t="s">
        <v>1275</v>
      </c>
      <c r="J705" s="209">
        <v>17476000</v>
      </c>
      <c r="K705" s="209">
        <v>4369000</v>
      </c>
      <c r="L705" s="209">
        <v>7000</v>
      </c>
      <c r="M705" s="209">
        <v>21852000</v>
      </c>
      <c r="N705" s="7" t="s">
        <v>4625</v>
      </c>
      <c r="O705" s="7" t="s">
        <v>124</v>
      </c>
    </row>
    <row r="706" spans="1:15" x14ac:dyDescent="0.25">
      <c r="A706" s="7" t="s">
        <v>258</v>
      </c>
      <c r="B706" s="7" t="s">
        <v>90</v>
      </c>
      <c r="C706" s="7" t="s">
        <v>20</v>
      </c>
      <c r="D706" s="7" t="s">
        <v>259</v>
      </c>
      <c r="E706" s="7" t="s">
        <v>3402</v>
      </c>
      <c r="F706" s="7" t="s">
        <v>3401</v>
      </c>
      <c r="G706" s="7" t="s">
        <v>2345</v>
      </c>
      <c r="H706" s="7" t="s">
        <v>123</v>
      </c>
      <c r="I706" s="7" t="s">
        <v>1275</v>
      </c>
      <c r="J706" s="209">
        <v>490566</v>
      </c>
      <c r="K706" s="209">
        <v>122641.60000000001</v>
      </c>
      <c r="L706" s="209">
        <v>0</v>
      </c>
      <c r="M706" s="209">
        <v>613208</v>
      </c>
      <c r="N706" s="7" t="s">
        <v>4624</v>
      </c>
      <c r="O706" s="7" t="s">
        <v>124</v>
      </c>
    </row>
    <row r="707" spans="1:15" x14ac:dyDescent="0.25">
      <c r="A707" s="223" t="s">
        <v>258</v>
      </c>
      <c r="B707" s="224" t="s">
        <v>90</v>
      </c>
      <c r="C707" s="224" t="s">
        <v>20</v>
      </c>
      <c r="D707" s="225" t="s">
        <v>259</v>
      </c>
      <c r="E707" s="224" t="s">
        <v>260</v>
      </c>
      <c r="F707" s="224" t="s">
        <v>261</v>
      </c>
      <c r="G707" s="224" t="s">
        <v>177</v>
      </c>
      <c r="H707" s="224" t="s">
        <v>178</v>
      </c>
      <c r="I707" s="224" t="s">
        <v>224</v>
      </c>
      <c r="J707" s="226"/>
      <c r="K707" s="226"/>
      <c r="L707" s="226">
        <v>510500</v>
      </c>
      <c r="M707" s="226">
        <v>510500</v>
      </c>
      <c r="N707" s="224" t="s">
        <v>4624</v>
      </c>
      <c r="O707" s="224" t="s">
        <v>124</v>
      </c>
    </row>
    <row r="708" spans="1:15" x14ac:dyDescent="0.25">
      <c r="A708" s="223" t="s">
        <v>258</v>
      </c>
      <c r="B708" s="224" t="s">
        <v>90</v>
      </c>
      <c r="C708" s="224" t="s">
        <v>20</v>
      </c>
      <c r="D708" s="225" t="s">
        <v>259</v>
      </c>
      <c r="E708" s="224" t="s">
        <v>260</v>
      </c>
      <c r="F708" s="224" t="s">
        <v>261</v>
      </c>
      <c r="G708" s="224" t="s">
        <v>177</v>
      </c>
      <c r="H708" s="224" t="s">
        <v>178</v>
      </c>
      <c r="I708" s="224" t="s">
        <v>224</v>
      </c>
      <c r="J708" s="226"/>
      <c r="K708" s="226"/>
      <c r="L708" s="226">
        <v>944367</v>
      </c>
      <c r="M708" s="226">
        <v>944367</v>
      </c>
      <c r="N708" s="224" t="s">
        <v>4624</v>
      </c>
      <c r="O708" s="224" t="s">
        <v>124</v>
      </c>
    </row>
    <row r="709" spans="1:15" x14ac:dyDescent="0.25">
      <c r="A709" s="223" t="s">
        <v>258</v>
      </c>
      <c r="B709" s="224" t="s">
        <v>90</v>
      </c>
      <c r="C709" s="224" t="s">
        <v>20</v>
      </c>
      <c r="D709" s="225" t="s">
        <v>259</v>
      </c>
      <c r="E709" s="224" t="s">
        <v>260</v>
      </c>
      <c r="F709" s="224" t="s">
        <v>261</v>
      </c>
      <c r="G709" s="224" t="s">
        <v>73</v>
      </c>
      <c r="H709" s="224" t="s">
        <v>245</v>
      </c>
      <c r="I709" s="224" t="s">
        <v>224</v>
      </c>
      <c r="J709" s="226"/>
      <c r="K709" s="226"/>
      <c r="L709" s="226">
        <v>33256.910000000003</v>
      </c>
      <c r="M709" s="226">
        <v>33256.910000000003</v>
      </c>
      <c r="N709" s="224" t="s">
        <v>4624</v>
      </c>
      <c r="O709" s="224" t="s">
        <v>124</v>
      </c>
    </row>
    <row r="710" spans="1:15" x14ac:dyDescent="0.25">
      <c r="A710" s="223" t="s">
        <v>258</v>
      </c>
      <c r="B710" s="224" t="s">
        <v>90</v>
      </c>
      <c r="C710" s="224" t="s">
        <v>20</v>
      </c>
      <c r="D710" s="225" t="s">
        <v>259</v>
      </c>
      <c r="E710" s="224" t="s">
        <v>260</v>
      </c>
      <c r="F710" s="224" t="s">
        <v>565</v>
      </c>
      <c r="G710" s="224" t="s">
        <v>212</v>
      </c>
      <c r="H710" s="224" t="s">
        <v>213</v>
      </c>
      <c r="I710" s="224" t="s">
        <v>224</v>
      </c>
      <c r="J710" s="226"/>
      <c r="K710" s="226"/>
      <c r="L710" s="226">
        <v>295594</v>
      </c>
      <c r="M710" s="226">
        <v>295594</v>
      </c>
      <c r="N710" s="224" t="s">
        <v>4624</v>
      </c>
      <c r="O710" s="224" t="s">
        <v>124</v>
      </c>
    </row>
    <row r="711" spans="1:15" x14ac:dyDescent="0.25">
      <c r="A711" s="223" t="s">
        <v>258</v>
      </c>
      <c r="B711" s="224" t="s">
        <v>90</v>
      </c>
      <c r="C711" s="224" t="s">
        <v>20</v>
      </c>
      <c r="D711" s="225" t="s">
        <v>259</v>
      </c>
      <c r="E711" s="224" t="s">
        <v>260</v>
      </c>
      <c r="F711" s="224" t="s">
        <v>261</v>
      </c>
      <c r="G711" s="224" t="s">
        <v>2345</v>
      </c>
      <c r="H711" s="224" t="s">
        <v>219</v>
      </c>
      <c r="I711" s="224" t="s">
        <v>220</v>
      </c>
      <c r="J711" s="226"/>
      <c r="K711" s="226"/>
      <c r="L711" s="226">
        <v>401670</v>
      </c>
      <c r="M711" s="226">
        <v>401670</v>
      </c>
      <c r="N711" s="224" t="s">
        <v>4624</v>
      </c>
      <c r="O711" s="224" t="s">
        <v>124</v>
      </c>
    </row>
    <row r="712" spans="1:15" x14ac:dyDescent="0.25">
      <c r="A712" s="187" t="s">
        <v>805</v>
      </c>
      <c r="B712" s="61" t="s">
        <v>18</v>
      </c>
      <c r="C712" s="61" t="s">
        <v>20</v>
      </c>
      <c r="D712" s="199" t="s">
        <v>518</v>
      </c>
      <c r="E712" s="199" t="s">
        <v>1036</v>
      </c>
      <c r="F712" s="199" t="s">
        <v>1145</v>
      </c>
      <c r="G712" s="7" t="s">
        <v>2345</v>
      </c>
      <c r="H712" s="199" t="s">
        <v>4708</v>
      </c>
      <c r="I712" s="199" t="s">
        <v>2581</v>
      </c>
      <c r="J712" s="235">
        <v>146703.60999999999</v>
      </c>
      <c r="K712" s="211">
        <v>62873.390000000014</v>
      </c>
      <c r="L712" s="211">
        <v>0</v>
      </c>
      <c r="M712" s="235">
        <v>209577</v>
      </c>
      <c r="N712" s="61" t="s">
        <v>4624</v>
      </c>
      <c r="O712" s="61" t="s">
        <v>124</v>
      </c>
    </row>
    <row r="713" spans="1:15" x14ac:dyDescent="0.25">
      <c r="A713" s="224" t="s">
        <v>4694</v>
      </c>
      <c r="B713" s="224" t="s">
        <v>18</v>
      </c>
      <c r="C713" s="224" t="s">
        <v>20</v>
      </c>
      <c r="D713" s="224" t="s">
        <v>19</v>
      </c>
      <c r="E713" s="224" t="s">
        <v>21</v>
      </c>
      <c r="F713" s="224" t="s">
        <v>44</v>
      </c>
      <c r="G713" s="224" t="s">
        <v>2345</v>
      </c>
      <c r="H713" s="224" t="s">
        <v>74</v>
      </c>
      <c r="I713" s="224" t="s">
        <v>83</v>
      </c>
      <c r="J713" s="224"/>
      <c r="K713" s="224"/>
      <c r="L713" s="226">
        <v>1752800</v>
      </c>
      <c r="M713" s="226">
        <v>1752800</v>
      </c>
      <c r="N713" s="224" t="s">
        <v>225</v>
      </c>
      <c r="O713" s="224" t="s">
        <v>125</v>
      </c>
    </row>
    <row r="714" spans="1:15" x14ac:dyDescent="0.25">
      <c r="A714" s="224" t="s">
        <v>4694</v>
      </c>
      <c r="B714" s="224" t="s">
        <v>18</v>
      </c>
      <c r="C714" s="224" t="s">
        <v>20</v>
      </c>
      <c r="D714" s="224" t="s">
        <v>19</v>
      </c>
      <c r="E714" s="224" t="s">
        <v>38</v>
      </c>
      <c r="F714" s="224" t="s">
        <v>66</v>
      </c>
      <c r="G714" s="224" t="s">
        <v>2345</v>
      </c>
      <c r="H714" s="224" t="s">
        <v>74</v>
      </c>
      <c r="I714" s="224" t="s">
        <v>89</v>
      </c>
      <c r="J714" s="224"/>
      <c r="K714" s="224"/>
      <c r="L714" s="226">
        <v>1102500</v>
      </c>
      <c r="M714" s="226">
        <v>1102500</v>
      </c>
      <c r="N714" s="224" t="s">
        <v>225</v>
      </c>
      <c r="O714" s="224" t="s">
        <v>125</v>
      </c>
    </row>
    <row r="715" spans="1:15" x14ac:dyDescent="0.25">
      <c r="A715" s="224" t="s">
        <v>4694</v>
      </c>
      <c r="B715" s="224" t="s">
        <v>18</v>
      </c>
      <c r="C715" s="224" t="s">
        <v>20</v>
      </c>
      <c r="D715" s="224" t="s">
        <v>19</v>
      </c>
      <c r="E715" s="224" t="s">
        <v>23</v>
      </c>
      <c r="F715" s="224" t="s">
        <v>61</v>
      </c>
      <c r="G715" s="224" t="s">
        <v>2345</v>
      </c>
      <c r="H715" s="224" t="s">
        <v>74</v>
      </c>
      <c r="I715" s="224" t="s">
        <v>83</v>
      </c>
      <c r="J715" s="224"/>
      <c r="K715" s="224"/>
      <c r="L715" s="226">
        <v>203300</v>
      </c>
      <c r="M715" s="226">
        <v>203300</v>
      </c>
      <c r="N715" s="224" t="s">
        <v>225</v>
      </c>
      <c r="O715" s="224" t="s">
        <v>125</v>
      </c>
    </row>
    <row r="716" spans="1:15" x14ac:dyDescent="0.25">
      <c r="A716" s="224" t="s">
        <v>4694</v>
      </c>
      <c r="B716" s="224" t="s">
        <v>18</v>
      </c>
      <c r="C716" s="224" t="s">
        <v>20</v>
      </c>
      <c r="D716" s="224" t="s">
        <v>19</v>
      </c>
      <c r="E716" s="224" t="s">
        <v>34</v>
      </c>
      <c r="F716" s="224" t="s">
        <v>60</v>
      </c>
      <c r="G716" s="224" t="s">
        <v>2345</v>
      </c>
      <c r="H716" s="224" t="s">
        <v>78</v>
      </c>
      <c r="I716" s="224" t="s">
        <v>88</v>
      </c>
      <c r="J716" s="224"/>
      <c r="K716" s="224"/>
      <c r="L716" s="226">
        <v>176200</v>
      </c>
      <c r="M716" s="226">
        <v>176200</v>
      </c>
      <c r="N716" s="224" t="s">
        <v>4625</v>
      </c>
      <c r="O716" s="224" t="s">
        <v>124</v>
      </c>
    </row>
    <row r="717" spans="1:15" x14ac:dyDescent="0.25">
      <c r="A717" s="224" t="s">
        <v>4694</v>
      </c>
      <c r="B717" s="224" t="s">
        <v>18</v>
      </c>
      <c r="C717" s="224" t="s">
        <v>20</v>
      </c>
      <c r="D717" s="224" t="s">
        <v>19</v>
      </c>
      <c r="E717" s="224" t="s">
        <v>43</v>
      </c>
      <c r="F717" s="224" t="s">
        <v>71</v>
      </c>
      <c r="G717" s="224" t="s">
        <v>212</v>
      </c>
      <c r="H717" s="224" t="s">
        <v>82</v>
      </c>
      <c r="I717" s="224" t="s">
        <v>89</v>
      </c>
      <c r="J717" s="224"/>
      <c r="K717" s="224"/>
      <c r="L717" s="226">
        <v>701300</v>
      </c>
      <c r="M717" s="226">
        <v>701300</v>
      </c>
      <c r="N717" s="224" t="s">
        <v>82</v>
      </c>
      <c r="O717" s="224" t="s">
        <v>126</v>
      </c>
    </row>
    <row r="718" spans="1:15" x14ac:dyDescent="0.25">
      <c r="A718" s="224" t="s">
        <v>4694</v>
      </c>
      <c r="B718" s="224" t="s">
        <v>18</v>
      </c>
      <c r="C718" s="224" t="s">
        <v>20</v>
      </c>
      <c r="D718" s="224" t="s">
        <v>19</v>
      </c>
      <c r="E718" s="224" t="s">
        <v>43</v>
      </c>
      <c r="F718" s="224" t="s">
        <v>71</v>
      </c>
      <c r="G718" s="224" t="s">
        <v>73</v>
      </c>
      <c r="H718" s="224" t="s">
        <v>245</v>
      </c>
      <c r="I718" s="224" t="s">
        <v>89</v>
      </c>
      <c r="J718" s="224"/>
      <c r="K718" s="224"/>
      <c r="L718" s="226">
        <v>1287200</v>
      </c>
      <c r="M718" s="226">
        <v>1287200</v>
      </c>
      <c r="N718" s="224" t="s">
        <v>82</v>
      </c>
      <c r="O718" s="224" t="s">
        <v>126</v>
      </c>
    </row>
    <row r="719" spans="1:15" x14ac:dyDescent="0.25">
      <c r="A719" s="224" t="s">
        <v>4694</v>
      </c>
      <c r="B719" s="224" t="s">
        <v>18</v>
      </c>
      <c r="C719" s="224" t="s">
        <v>20</v>
      </c>
      <c r="D719" s="224" t="s">
        <v>19</v>
      </c>
      <c r="E719" s="224" t="s">
        <v>23</v>
      </c>
      <c r="F719" s="224" t="s">
        <v>46</v>
      </c>
      <c r="G719" s="224" t="s">
        <v>2345</v>
      </c>
      <c r="H719" s="224" t="s">
        <v>4707</v>
      </c>
      <c r="I719" s="224" t="s">
        <v>85</v>
      </c>
      <c r="J719" s="224"/>
      <c r="K719" s="224"/>
      <c r="L719" s="226">
        <v>170300</v>
      </c>
      <c r="M719" s="226">
        <v>170300</v>
      </c>
      <c r="N719" s="224" t="s">
        <v>82</v>
      </c>
      <c r="O719" s="224" t="s">
        <v>126</v>
      </c>
    </row>
    <row r="720" spans="1:15" x14ac:dyDescent="0.25">
      <c r="A720" s="224" t="s">
        <v>4694</v>
      </c>
      <c r="B720" s="224" t="s">
        <v>18</v>
      </c>
      <c r="C720" s="224" t="s">
        <v>20</v>
      </c>
      <c r="D720" s="224" t="s">
        <v>19</v>
      </c>
      <c r="E720" s="224" t="s">
        <v>24</v>
      </c>
      <c r="F720" s="224" t="s">
        <v>47</v>
      </c>
      <c r="G720" s="224" t="s">
        <v>2345</v>
      </c>
      <c r="H720" s="224" t="s">
        <v>75</v>
      </c>
      <c r="I720" s="224" t="s">
        <v>83</v>
      </c>
      <c r="J720" s="224"/>
      <c r="K720" s="224"/>
      <c r="L720" s="226">
        <v>90400</v>
      </c>
      <c r="M720" s="226">
        <v>90400</v>
      </c>
      <c r="N720" s="224" t="s">
        <v>4624</v>
      </c>
      <c r="O720" s="224" t="s">
        <v>124</v>
      </c>
    </row>
    <row r="721" spans="1:15" x14ac:dyDescent="0.25">
      <c r="A721" s="224" t="s">
        <v>4694</v>
      </c>
      <c r="B721" s="224" t="s">
        <v>18</v>
      </c>
      <c r="C721" s="224" t="s">
        <v>20</v>
      </c>
      <c r="D721" s="224" t="s">
        <v>19</v>
      </c>
      <c r="E721" s="224" t="s">
        <v>39</v>
      </c>
      <c r="F721" s="224" t="s">
        <v>67</v>
      </c>
      <c r="G721" s="224" t="s">
        <v>117</v>
      </c>
      <c r="H721" s="224" t="s">
        <v>4711</v>
      </c>
      <c r="I721" s="224" t="s">
        <v>84</v>
      </c>
      <c r="J721" s="224"/>
      <c r="K721" s="224"/>
      <c r="L721" s="226">
        <v>1272500</v>
      </c>
      <c r="M721" s="226">
        <v>1272500</v>
      </c>
      <c r="N721" s="224" t="s">
        <v>4616</v>
      </c>
      <c r="O721" s="224" t="s">
        <v>124</v>
      </c>
    </row>
    <row r="722" spans="1:15" x14ac:dyDescent="0.25">
      <c r="A722" s="224" t="s">
        <v>4694</v>
      </c>
      <c r="B722" s="224" t="s">
        <v>18</v>
      </c>
      <c r="C722" s="224" t="s">
        <v>20</v>
      </c>
      <c r="D722" s="224" t="s">
        <v>19</v>
      </c>
      <c r="E722" s="224" t="s">
        <v>41</v>
      </c>
      <c r="F722" s="224" t="s">
        <v>41</v>
      </c>
      <c r="G722" s="224" t="s">
        <v>2345</v>
      </c>
      <c r="H722" s="224" t="s">
        <v>81</v>
      </c>
      <c r="I722" s="224" t="s">
        <v>84</v>
      </c>
      <c r="J722" s="224"/>
      <c r="K722" s="224"/>
      <c r="L722" s="226">
        <v>52200</v>
      </c>
      <c r="M722" s="226">
        <v>52200</v>
      </c>
      <c r="N722" s="224" t="s">
        <v>4620</v>
      </c>
      <c r="O722" s="224" t="s">
        <v>124</v>
      </c>
    </row>
    <row r="723" spans="1:15" x14ac:dyDescent="0.25">
      <c r="A723" s="224" t="s">
        <v>4694</v>
      </c>
      <c r="B723" s="224" t="s">
        <v>18</v>
      </c>
      <c r="C723" s="224" t="s">
        <v>20</v>
      </c>
      <c r="D723" s="224" t="s">
        <v>19</v>
      </c>
      <c r="E723" s="224" t="s">
        <v>22</v>
      </c>
      <c r="F723" s="224" t="s">
        <v>45</v>
      </c>
      <c r="G723" s="224" t="s">
        <v>117</v>
      </c>
      <c r="H723" s="224" t="s">
        <v>75</v>
      </c>
      <c r="I723" s="224" t="s">
        <v>84</v>
      </c>
      <c r="J723" s="224"/>
      <c r="K723" s="224"/>
      <c r="L723" s="226">
        <v>534400</v>
      </c>
      <c r="M723" s="226">
        <v>534400</v>
      </c>
      <c r="N723" s="224" t="s">
        <v>4624</v>
      </c>
      <c r="O723" s="224" t="s">
        <v>124</v>
      </c>
    </row>
    <row r="724" spans="1:15" x14ac:dyDescent="0.25">
      <c r="A724" s="224" t="s">
        <v>4694</v>
      </c>
      <c r="B724" s="224" t="s">
        <v>18</v>
      </c>
      <c r="C724" s="224" t="s">
        <v>20</v>
      </c>
      <c r="D724" s="224" t="s">
        <v>19</v>
      </c>
      <c r="E724" s="224" t="s">
        <v>22</v>
      </c>
      <c r="F724" s="224" t="s">
        <v>45</v>
      </c>
      <c r="G724" s="224" t="s">
        <v>212</v>
      </c>
      <c r="H724" s="224" t="s">
        <v>75</v>
      </c>
      <c r="I724" s="224" t="s">
        <v>84</v>
      </c>
      <c r="J724" s="224"/>
      <c r="K724" s="224"/>
      <c r="L724" s="226">
        <v>500000</v>
      </c>
      <c r="M724" s="226">
        <v>500000</v>
      </c>
      <c r="N724" s="224" t="s">
        <v>4624</v>
      </c>
      <c r="O724" s="224" t="s">
        <v>124</v>
      </c>
    </row>
    <row r="725" spans="1:15" x14ac:dyDescent="0.25">
      <c r="A725" s="224" t="s">
        <v>4694</v>
      </c>
      <c r="B725" s="224" t="s">
        <v>18</v>
      </c>
      <c r="C725" s="224" t="s">
        <v>20</v>
      </c>
      <c r="D725" s="224" t="s">
        <v>19</v>
      </c>
      <c r="E725" s="224" t="s">
        <v>25</v>
      </c>
      <c r="F725" s="224" t="s">
        <v>48</v>
      </c>
      <c r="G725" s="224" t="s">
        <v>2345</v>
      </c>
      <c r="H725" s="224" t="s">
        <v>75</v>
      </c>
      <c r="I725" s="224" t="s">
        <v>84</v>
      </c>
      <c r="J725" s="224"/>
      <c r="K725" s="224"/>
      <c r="L725" s="226">
        <v>41600</v>
      </c>
      <c r="M725" s="226">
        <v>41600</v>
      </c>
      <c r="N725" s="224" t="s">
        <v>4624</v>
      </c>
      <c r="O725" s="224" t="s">
        <v>124</v>
      </c>
    </row>
    <row r="726" spans="1:15" x14ac:dyDescent="0.25">
      <c r="A726" s="224" t="s">
        <v>4694</v>
      </c>
      <c r="B726" s="224" t="s">
        <v>18</v>
      </c>
      <c r="C726" s="224" t="s">
        <v>20</v>
      </c>
      <c r="D726" s="224" t="s">
        <v>19</v>
      </c>
      <c r="E726" s="224" t="s">
        <v>26</v>
      </c>
      <c r="F726" s="224" t="s">
        <v>49</v>
      </c>
      <c r="G726" s="224" t="s">
        <v>117</v>
      </c>
      <c r="H726" s="224" t="s">
        <v>75</v>
      </c>
      <c r="I726" s="224" t="s">
        <v>84</v>
      </c>
      <c r="J726" s="224"/>
      <c r="K726" s="224"/>
      <c r="L726" s="226">
        <v>142800</v>
      </c>
      <c r="M726" s="226">
        <v>142800</v>
      </c>
      <c r="N726" s="224" t="s">
        <v>4624</v>
      </c>
      <c r="O726" s="224" t="s">
        <v>124</v>
      </c>
    </row>
    <row r="727" spans="1:15" x14ac:dyDescent="0.25">
      <c r="A727" s="224" t="s">
        <v>4694</v>
      </c>
      <c r="B727" s="224" t="s">
        <v>18</v>
      </c>
      <c r="C727" s="224" t="s">
        <v>20</v>
      </c>
      <c r="D727" s="224" t="s">
        <v>19</v>
      </c>
      <c r="E727" s="224" t="s">
        <v>26</v>
      </c>
      <c r="F727" s="224" t="s">
        <v>49</v>
      </c>
      <c r="G727" s="224" t="s">
        <v>212</v>
      </c>
      <c r="H727" s="224" t="s">
        <v>75</v>
      </c>
      <c r="I727" s="224" t="s">
        <v>84</v>
      </c>
      <c r="J727" s="224"/>
      <c r="K727" s="224"/>
      <c r="L727" s="226">
        <v>1399600</v>
      </c>
      <c r="M727" s="226">
        <v>1399600</v>
      </c>
      <c r="N727" s="224" t="s">
        <v>4624</v>
      </c>
      <c r="O727" s="224" t="s">
        <v>124</v>
      </c>
    </row>
    <row r="728" spans="1:15" x14ac:dyDescent="0.25">
      <c r="A728" s="224" t="s">
        <v>4694</v>
      </c>
      <c r="B728" s="224" t="s">
        <v>18</v>
      </c>
      <c r="C728" s="224" t="s">
        <v>20</v>
      </c>
      <c r="D728" s="224" t="s">
        <v>19</v>
      </c>
      <c r="E728" s="224" t="s">
        <v>26</v>
      </c>
      <c r="F728" s="224" t="s">
        <v>49</v>
      </c>
      <c r="G728" s="224" t="s">
        <v>73</v>
      </c>
      <c r="H728" s="224" t="s">
        <v>75</v>
      </c>
      <c r="I728" s="224" t="s">
        <v>84</v>
      </c>
      <c r="J728" s="224"/>
      <c r="K728" s="224"/>
      <c r="L728" s="226">
        <v>2000000</v>
      </c>
      <c r="M728" s="226">
        <v>2000000</v>
      </c>
      <c r="N728" s="224" t="s">
        <v>4624</v>
      </c>
      <c r="O728" s="224" t="s">
        <v>124</v>
      </c>
    </row>
    <row r="729" spans="1:15" x14ac:dyDescent="0.25">
      <c r="A729" s="224" t="s">
        <v>4694</v>
      </c>
      <c r="B729" s="224" t="s">
        <v>18</v>
      </c>
      <c r="C729" s="224" t="s">
        <v>20</v>
      </c>
      <c r="D729" s="224" t="s">
        <v>19</v>
      </c>
      <c r="E729" s="224" t="s">
        <v>27</v>
      </c>
      <c r="F729" s="224" t="s">
        <v>50</v>
      </c>
      <c r="G729" s="224" t="s">
        <v>73</v>
      </c>
      <c r="H729" s="224" t="s">
        <v>75</v>
      </c>
      <c r="I729" s="224" t="s">
        <v>84</v>
      </c>
      <c r="J729" s="224"/>
      <c r="K729" s="224"/>
      <c r="L729" s="226">
        <v>1680300</v>
      </c>
      <c r="M729" s="226">
        <v>1680300</v>
      </c>
      <c r="N729" s="224" t="s">
        <v>4624</v>
      </c>
      <c r="O729" s="224" t="s">
        <v>124</v>
      </c>
    </row>
    <row r="730" spans="1:15" x14ac:dyDescent="0.25">
      <c r="A730" s="224" t="s">
        <v>4694</v>
      </c>
      <c r="B730" s="224" t="s">
        <v>18</v>
      </c>
      <c r="C730" s="224" t="s">
        <v>20</v>
      </c>
      <c r="D730" s="224" t="s">
        <v>19</v>
      </c>
      <c r="E730" s="224" t="s">
        <v>29</v>
      </c>
      <c r="F730" s="224" t="s">
        <v>54</v>
      </c>
      <c r="G730" s="224" t="s">
        <v>117</v>
      </c>
      <c r="H730" s="224" t="s">
        <v>75</v>
      </c>
      <c r="I730" s="224" t="s">
        <v>84</v>
      </c>
      <c r="J730" s="224"/>
      <c r="K730" s="224"/>
      <c r="L730" s="226">
        <v>811700</v>
      </c>
      <c r="M730" s="226">
        <v>811700</v>
      </c>
      <c r="N730" s="224" t="s">
        <v>4624</v>
      </c>
      <c r="O730" s="224" t="s">
        <v>124</v>
      </c>
    </row>
    <row r="731" spans="1:15" x14ac:dyDescent="0.25">
      <c r="A731" s="224" t="s">
        <v>4694</v>
      </c>
      <c r="B731" s="224" t="s">
        <v>18</v>
      </c>
      <c r="C731" s="224" t="s">
        <v>20</v>
      </c>
      <c r="D731" s="224" t="s">
        <v>19</v>
      </c>
      <c r="E731" s="224" t="s">
        <v>29</v>
      </c>
      <c r="F731" s="224" t="s">
        <v>55</v>
      </c>
      <c r="G731" s="224" t="s">
        <v>212</v>
      </c>
      <c r="H731" s="224" t="s">
        <v>75</v>
      </c>
      <c r="I731" s="224" t="s">
        <v>84</v>
      </c>
      <c r="J731" s="224"/>
      <c r="K731" s="224"/>
      <c r="L731" s="226">
        <v>135000</v>
      </c>
      <c r="M731" s="226">
        <v>135000</v>
      </c>
      <c r="N731" s="224" t="s">
        <v>4624</v>
      </c>
      <c r="O731" s="224" t="s">
        <v>124</v>
      </c>
    </row>
    <row r="732" spans="1:15" x14ac:dyDescent="0.25">
      <c r="A732" s="224" t="s">
        <v>4694</v>
      </c>
      <c r="B732" s="224" t="s">
        <v>18</v>
      </c>
      <c r="C732" s="224" t="s">
        <v>20</v>
      </c>
      <c r="D732" s="224" t="s">
        <v>19</v>
      </c>
      <c r="E732" s="224" t="s">
        <v>36</v>
      </c>
      <c r="F732" s="224" t="s">
        <v>64</v>
      </c>
      <c r="G732" s="224" t="s">
        <v>212</v>
      </c>
      <c r="H732" s="224" t="s">
        <v>75</v>
      </c>
      <c r="I732" s="224" t="s">
        <v>84</v>
      </c>
      <c r="J732" s="224"/>
      <c r="K732" s="224"/>
      <c r="L732" s="226">
        <v>12800</v>
      </c>
      <c r="M732" s="226">
        <v>12800</v>
      </c>
      <c r="N732" s="224" t="s">
        <v>4624</v>
      </c>
      <c r="O732" s="224" t="s">
        <v>124</v>
      </c>
    </row>
    <row r="733" spans="1:15" x14ac:dyDescent="0.25">
      <c r="A733" s="224" t="s">
        <v>4694</v>
      </c>
      <c r="B733" s="224" t="s">
        <v>18</v>
      </c>
      <c r="C733" s="224" t="s">
        <v>20</v>
      </c>
      <c r="D733" s="224" t="s">
        <v>19</v>
      </c>
      <c r="E733" s="224" t="s">
        <v>36</v>
      </c>
      <c r="F733" s="224" t="s">
        <v>64</v>
      </c>
      <c r="G733" s="224" t="s">
        <v>2345</v>
      </c>
      <c r="H733" s="224" t="s">
        <v>75</v>
      </c>
      <c r="I733" s="224" t="s">
        <v>84</v>
      </c>
      <c r="J733" s="224"/>
      <c r="K733" s="224"/>
      <c r="L733" s="226">
        <v>282100</v>
      </c>
      <c r="M733" s="226">
        <v>282100</v>
      </c>
      <c r="N733" s="224" t="s">
        <v>4624</v>
      </c>
      <c r="O733" s="224" t="s">
        <v>124</v>
      </c>
    </row>
    <row r="734" spans="1:15" x14ac:dyDescent="0.25">
      <c r="A734" s="224" t="s">
        <v>4694</v>
      </c>
      <c r="B734" s="224" t="s">
        <v>18</v>
      </c>
      <c r="C734" s="224" t="s">
        <v>20</v>
      </c>
      <c r="D734" s="224" t="s">
        <v>19</v>
      </c>
      <c r="E734" s="224" t="s">
        <v>29</v>
      </c>
      <c r="F734" s="224" t="s">
        <v>65</v>
      </c>
      <c r="G734" s="224" t="s">
        <v>117</v>
      </c>
      <c r="H734" s="224" t="s">
        <v>75</v>
      </c>
      <c r="I734" s="224" t="s">
        <v>84</v>
      </c>
      <c r="J734" s="224"/>
      <c r="K734" s="224"/>
      <c r="L734" s="226">
        <v>92500</v>
      </c>
      <c r="M734" s="226">
        <v>92500</v>
      </c>
      <c r="N734" s="224" t="s">
        <v>4624</v>
      </c>
      <c r="O734" s="224" t="s">
        <v>124</v>
      </c>
    </row>
    <row r="735" spans="1:15" x14ac:dyDescent="0.25">
      <c r="A735" s="224" t="s">
        <v>4694</v>
      </c>
      <c r="B735" s="224" t="s">
        <v>18</v>
      </c>
      <c r="C735" s="224" t="s">
        <v>20</v>
      </c>
      <c r="D735" s="224" t="s">
        <v>19</v>
      </c>
      <c r="E735" s="224" t="s">
        <v>29</v>
      </c>
      <c r="F735" s="224" t="s">
        <v>65</v>
      </c>
      <c r="G735" s="224" t="s">
        <v>212</v>
      </c>
      <c r="H735" s="224" t="s">
        <v>75</v>
      </c>
      <c r="I735" s="224" t="s">
        <v>84</v>
      </c>
      <c r="J735" s="224"/>
      <c r="K735" s="224"/>
      <c r="L735" s="226">
        <v>498500</v>
      </c>
      <c r="M735" s="226">
        <v>498500</v>
      </c>
      <c r="N735" s="224" t="s">
        <v>4624</v>
      </c>
      <c r="O735" s="224" t="s">
        <v>124</v>
      </c>
    </row>
    <row r="736" spans="1:15" x14ac:dyDescent="0.25">
      <c r="A736" s="224" t="s">
        <v>4694</v>
      </c>
      <c r="B736" s="224" t="s">
        <v>18</v>
      </c>
      <c r="C736" s="224" t="s">
        <v>20</v>
      </c>
      <c r="D736" s="224" t="s">
        <v>19</v>
      </c>
      <c r="E736" s="224" t="s">
        <v>38</v>
      </c>
      <c r="F736" s="224" t="s">
        <v>69</v>
      </c>
      <c r="G736" s="224" t="s">
        <v>212</v>
      </c>
      <c r="H736" s="224" t="s">
        <v>75</v>
      </c>
      <c r="I736" s="224" t="s">
        <v>84</v>
      </c>
      <c r="J736" s="224"/>
      <c r="K736" s="224"/>
      <c r="L736" s="226">
        <v>292300</v>
      </c>
      <c r="M736" s="226">
        <v>292300</v>
      </c>
      <c r="N736" s="224" t="s">
        <v>4624</v>
      </c>
      <c r="O736" s="224" t="s">
        <v>124</v>
      </c>
    </row>
    <row r="737" spans="1:15" x14ac:dyDescent="0.25">
      <c r="A737" s="224" t="s">
        <v>4694</v>
      </c>
      <c r="B737" s="224" t="s">
        <v>18</v>
      </c>
      <c r="C737" s="224" t="s">
        <v>20</v>
      </c>
      <c r="D737" s="224" t="s">
        <v>19</v>
      </c>
      <c r="E737" s="224" t="s">
        <v>31</v>
      </c>
      <c r="F737" s="224" t="s">
        <v>57</v>
      </c>
      <c r="G737" s="224" t="s">
        <v>117</v>
      </c>
      <c r="H737" s="224" t="s">
        <v>79</v>
      </c>
      <c r="I737" s="224" t="s">
        <v>84</v>
      </c>
      <c r="J737" s="224"/>
      <c r="K737" s="224"/>
      <c r="L737" s="226">
        <v>97000</v>
      </c>
      <c r="M737" s="226">
        <v>97000</v>
      </c>
      <c r="N737" s="224" t="s">
        <v>79</v>
      </c>
      <c r="O737" s="224" t="s">
        <v>124</v>
      </c>
    </row>
    <row r="738" spans="1:15" x14ac:dyDescent="0.25">
      <c r="A738" s="224" t="s">
        <v>4694</v>
      </c>
      <c r="B738" s="224" t="s">
        <v>18</v>
      </c>
      <c r="C738" s="224" t="s">
        <v>20</v>
      </c>
      <c r="D738" s="224" t="s">
        <v>19</v>
      </c>
      <c r="E738" s="224" t="s">
        <v>32</v>
      </c>
      <c r="F738" s="224" t="s">
        <v>58</v>
      </c>
      <c r="G738" s="224" t="s">
        <v>212</v>
      </c>
      <c r="H738" s="224" t="s">
        <v>79</v>
      </c>
      <c r="I738" s="224" t="s">
        <v>84</v>
      </c>
      <c r="J738" s="224"/>
      <c r="K738" s="224"/>
      <c r="L738" s="226">
        <v>320000</v>
      </c>
      <c r="M738" s="226">
        <v>320000</v>
      </c>
      <c r="N738" s="224" t="s">
        <v>79</v>
      </c>
      <c r="O738" s="224" t="s">
        <v>124</v>
      </c>
    </row>
    <row r="739" spans="1:15" ht="15" customHeight="1" x14ac:dyDescent="0.25">
      <c r="A739" s="224" t="s">
        <v>4694</v>
      </c>
      <c r="B739" s="224" t="s">
        <v>18</v>
      </c>
      <c r="C739" s="224" t="s">
        <v>20</v>
      </c>
      <c r="D739" s="224" t="s">
        <v>19</v>
      </c>
      <c r="E739" s="224" t="s">
        <v>33</v>
      </c>
      <c r="F739" s="224" t="s">
        <v>59</v>
      </c>
      <c r="G739" s="224" t="s">
        <v>73</v>
      </c>
      <c r="H739" s="224" t="s">
        <v>79</v>
      </c>
      <c r="I739" s="224" t="s">
        <v>84</v>
      </c>
      <c r="J739" s="224"/>
      <c r="K739" s="224"/>
      <c r="L739" s="226">
        <v>253700</v>
      </c>
      <c r="M739" s="226">
        <v>253700</v>
      </c>
      <c r="N739" s="224" t="s">
        <v>79</v>
      </c>
      <c r="O739" s="224" t="s">
        <v>124</v>
      </c>
    </row>
    <row r="740" spans="1:15" ht="15" customHeight="1" x14ac:dyDescent="0.25">
      <c r="A740" s="224" t="s">
        <v>4694</v>
      </c>
      <c r="B740" s="224" t="s">
        <v>18</v>
      </c>
      <c r="C740" s="224" t="s">
        <v>20</v>
      </c>
      <c r="D740" s="224" t="s">
        <v>19</v>
      </c>
      <c r="E740" s="224" t="s">
        <v>36</v>
      </c>
      <c r="F740" s="224" t="s">
        <v>63</v>
      </c>
      <c r="G740" s="224" t="s">
        <v>212</v>
      </c>
      <c r="H740" s="224" t="s">
        <v>79</v>
      </c>
      <c r="I740" s="224" t="s">
        <v>84</v>
      </c>
      <c r="J740" s="224"/>
      <c r="K740" s="224"/>
      <c r="L740" s="226">
        <v>828800</v>
      </c>
      <c r="M740" s="226">
        <v>828800</v>
      </c>
      <c r="N740" s="224" t="s">
        <v>79</v>
      </c>
      <c r="O740" s="224" t="s">
        <v>124</v>
      </c>
    </row>
    <row r="741" spans="1:15" ht="15" customHeight="1" x14ac:dyDescent="0.25">
      <c r="A741" s="224" t="s">
        <v>4694</v>
      </c>
      <c r="B741" s="224" t="s">
        <v>18</v>
      </c>
      <c r="C741" s="224" t="s">
        <v>20</v>
      </c>
      <c r="D741" s="224" t="s">
        <v>19</v>
      </c>
      <c r="E741" s="224" t="s">
        <v>42</v>
      </c>
      <c r="F741" s="224" t="s">
        <v>70</v>
      </c>
      <c r="G741" s="224" t="s">
        <v>2345</v>
      </c>
      <c r="H741" s="224" t="s">
        <v>79</v>
      </c>
      <c r="I741" s="224" t="s">
        <v>84</v>
      </c>
      <c r="J741" s="224"/>
      <c r="K741" s="224"/>
      <c r="L741" s="226">
        <v>7459600</v>
      </c>
      <c r="M741" s="226">
        <v>7459600</v>
      </c>
      <c r="N741" s="224" t="s">
        <v>79</v>
      </c>
      <c r="O741" s="224" t="s">
        <v>124</v>
      </c>
    </row>
    <row r="742" spans="1:15" ht="15" customHeight="1" x14ac:dyDescent="0.25">
      <c r="A742" s="224" t="s">
        <v>4694</v>
      </c>
      <c r="B742" s="224" t="s">
        <v>18</v>
      </c>
      <c r="C742" s="224" t="s">
        <v>20</v>
      </c>
      <c r="D742" s="224" t="s">
        <v>19</v>
      </c>
      <c r="E742" s="224" t="s">
        <v>30</v>
      </c>
      <c r="F742" s="224" t="s">
        <v>56</v>
      </c>
      <c r="G742" s="224" t="s">
        <v>73</v>
      </c>
      <c r="H742" s="224" t="s">
        <v>77</v>
      </c>
      <c r="I742" s="224" t="s">
        <v>84</v>
      </c>
      <c r="J742" s="224"/>
      <c r="K742" s="224"/>
      <c r="L742" s="226">
        <v>716000</v>
      </c>
      <c r="M742" s="226">
        <v>716000</v>
      </c>
      <c r="N742" s="224" t="s">
        <v>82</v>
      </c>
      <c r="O742" s="224" t="s">
        <v>126</v>
      </c>
    </row>
    <row r="743" spans="1:15" ht="15" customHeight="1" x14ac:dyDescent="0.25">
      <c r="A743" s="224" t="s">
        <v>4694</v>
      </c>
      <c r="B743" s="224" t="s">
        <v>18</v>
      </c>
      <c r="C743" s="224" t="s">
        <v>20</v>
      </c>
      <c r="D743" s="224" t="s">
        <v>19</v>
      </c>
      <c r="E743" s="224" t="s">
        <v>28</v>
      </c>
      <c r="F743" s="224" t="s">
        <v>52</v>
      </c>
      <c r="G743" s="224" t="s">
        <v>212</v>
      </c>
      <c r="H743" s="224" t="s">
        <v>76</v>
      </c>
      <c r="I743" s="224" t="s">
        <v>84</v>
      </c>
      <c r="J743" s="224"/>
      <c r="K743" s="224"/>
      <c r="L743" s="226">
        <v>94000</v>
      </c>
      <c r="M743" s="226">
        <v>94000</v>
      </c>
      <c r="N743" s="224" t="s">
        <v>82</v>
      </c>
      <c r="O743" s="224" t="s">
        <v>126</v>
      </c>
    </row>
    <row r="744" spans="1:15" ht="15" customHeight="1" x14ac:dyDescent="0.25">
      <c r="A744" s="224" t="s">
        <v>4694</v>
      </c>
      <c r="B744" s="224" t="s">
        <v>18</v>
      </c>
      <c r="C744" s="224" t="s">
        <v>20</v>
      </c>
      <c r="D744" s="224" t="s">
        <v>19</v>
      </c>
      <c r="E744" s="224" t="s">
        <v>30</v>
      </c>
      <c r="F744" s="224" t="s">
        <v>56</v>
      </c>
      <c r="G744" s="224" t="s">
        <v>117</v>
      </c>
      <c r="H744" s="224" t="s">
        <v>4746</v>
      </c>
      <c r="I744" s="224" t="s">
        <v>84</v>
      </c>
      <c r="J744" s="224"/>
      <c r="K744" s="224"/>
      <c r="L744" s="226">
        <v>233700</v>
      </c>
      <c r="M744" s="226">
        <v>233700</v>
      </c>
      <c r="N744" s="224" t="s">
        <v>82</v>
      </c>
      <c r="O744" s="224" t="s">
        <v>126</v>
      </c>
    </row>
    <row r="745" spans="1:15" ht="15" customHeight="1" x14ac:dyDescent="0.25">
      <c r="A745" s="224" t="s">
        <v>4694</v>
      </c>
      <c r="B745" s="224" t="s">
        <v>18</v>
      </c>
      <c r="C745" s="224" t="s">
        <v>20</v>
      </c>
      <c r="D745" s="224" t="s">
        <v>19</v>
      </c>
      <c r="E745" s="224" t="s">
        <v>30</v>
      </c>
      <c r="F745" s="224" t="s">
        <v>56</v>
      </c>
      <c r="G745" s="224" t="s">
        <v>212</v>
      </c>
      <c r="H745" s="224" t="s">
        <v>4746</v>
      </c>
      <c r="I745" s="224" t="s">
        <v>84</v>
      </c>
      <c r="J745" s="224"/>
      <c r="K745" s="224"/>
      <c r="L745" s="226">
        <v>822500</v>
      </c>
      <c r="M745" s="226">
        <v>822500</v>
      </c>
      <c r="N745" s="224" t="s">
        <v>82</v>
      </c>
      <c r="O745" s="224" t="s">
        <v>126</v>
      </c>
    </row>
    <row r="746" spans="1:15" ht="15" customHeight="1" x14ac:dyDescent="0.25">
      <c r="A746" s="224" t="s">
        <v>4694</v>
      </c>
      <c r="B746" s="224" t="s">
        <v>18</v>
      </c>
      <c r="C746" s="224" t="s">
        <v>20</v>
      </c>
      <c r="D746" s="224" t="s">
        <v>19</v>
      </c>
      <c r="E746" s="224" t="s">
        <v>35</v>
      </c>
      <c r="F746" s="224" t="s">
        <v>62</v>
      </c>
      <c r="G746" s="224" t="s">
        <v>2345</v>
      </c>
      <c r="H746" s="224" t="s">
        <v>76</v>
      </c>
      <c r="I746" s="224" t="s">
        <v>84</v>
      </c>
      <c r="J746" s="224"/>
      <c r="K746" s="224"/>
      <c r="L746" s="226">
        <v>10025500</v>
      </c>
      <c r="M746" s="226">
        <v>10025500</v>
      </c>
      <c r="N746" s="224" t="s">
        <v>82</v>
      </c>
      <c r="O746" s="224" t="s">
        <v>126</v>
      </c>
    </row>
    <row r="747" spans="1:15" ht="15" customHeight="1" x14ac:dyDescent="0.25">
      <c r="A747" s="224" t="s">
        <v>4694</v>
      </c>
      <c r="B747" s="224" t="s">
        <v>18</v>
      </c>
      <c r="C747" s="224" t="s">
        <v>20</v>
      </c>
      <c r="D747" s="224" t="s">
        <v>19</v>
      </c>
      <c r="E747" s="224" t="s">
        <v>35</v>
      </c>
      <c r="F747" s="224" t="s">
        <v>62</v>
      </c>
      <c r="G747" s="224" t="s">
        <v>73</v>
      </c>
      <c r="H747" s="224" t="s">
        <v>245</v>
      </c>
      <c r="I747" s="224" t="s">
        <v>84</v>
      </c>
      <c r="J747" s="224"/>
      <c r="K747" s="224"/>
      <c r="L747" s="226">
        <v>139600</v>
      </c>
      <c r="M747" s="226">
        <v>139600</v>
      </c>
      <c r="N747" s="224" t="s">
        <v>82</v>
      </c>
      <c r="O747" s="224" t="s">
        <v>126</v>
      </c>
    </row>
    <row r="748" spans="1:15" ht="15" customHeight="1" x14ac:dyDescent="0.25">
      <c r="A748" s="224" t="s">
        <v>4694</v>
      </c>
      <c r="B748" s="224" t="s">
        <v>18</v>
      </c>
      <c r="C748" s="224" t="s">
        <v>20</v>
      </c>
      <c r="D748" s="224" t="s">
        <v>19</v>
      </c>
      <c r="E748" s="224" t="s">
        <v>37</v>
      </c>
      <c r="F748" s="224" t="s">
        <v>63</v>
      </c>
      <c r="G748" s="224" t="s">
        <v>73</v>
      </c>
      <c r="H748" s="224" t="s">
        <v>245</v>
      </c>
      <c r="I748" s="224" t="s">
        <v>84</v>
      </c>
      <c r="J748" s="224"/>
      <c r="K748" s="224"/>
      <c r="L748" s="226">
        <v>300000</v>
      </c>
      <c r="M748" s="226">
        <v>300000</v>
      </c>
      <c r="N748" s="224" t="s">
        <v>79</v>
      </c>
      <c r="O748" s="224" t="s">
        <v>124</v>
      </c>
    </row>
    <row r="749" spans="1:15" ht="15" customHeight="1" x14ac:dyDescent="0.25">
      <c r="A749" s="224" t="s">
        <v>4694</v>
      </c>
      <c r="B749" s="224" t="s">
        <v>18</v>
      </c>
      <c r="C749" s="224" t="s">
        <v>20</v>
      </c>
      <c r="D749" s="224" t="s">
        <v>19</v>
      </c>
      <c r="E749" s="224" t="s">
        <v>27</v>
      </c>
      <c r="F749" s="224" t="s">
        <v>51</v>
      </c>
      <c r="G749" s="224" t="s">
        <v>2345</v>
      </c>
      <c r="H749" s="224" t="s">
        <v>75</v>
      </c>
      <c r="I749" s="224" t="s">
        <v>86</v>
      </c>
      <c r="J749" s="224"/>
      <c r="K749" s="224"/>
      <c r="L749" s="226">
        <v>3250400</v>
      </c>
      <c r="M749" s="226">
        <v>3250400</v>
      </c>
      <c r="N749" s="224" t="s">
        <v>4624</v>
      </c>
      <c r="O749" s="224" t="s">
        <v>124</v>
      </c>
    </row>
    <row r="750" spans="1:15" ht="15" customHeight="1" x14ac:dyDescent="0.25">
      <c r="A750" s="224" t="s">
        <v>4694</v>
      </c>
      <c r="B750" s="224" t="s">
        <v>18</v>
      </c>
      <c r="C750" s="224" t="s">
        <v>20</v>
      </c>
      <c r="D750" s="224" t="s">
        <v>19</v>
      </c>
      <c r="E750" s="224" t="s">
        <v>28</v>
      </c>
      <c r="F750" s="224" t="s">
        <v>53</v>
      </c>
      <c r="G750" s="224" t="s">
        <v>2345</v>
      </c>
      <c r="H750" s="224" t="s">
        <v>76</v>
      </c>
      <c r="I750" s="224" t="s">
        <v>87</v>
      </c>
      <c r="J750" s="224"/>
      <c r="K750" s="224"/>
      <c r="L750" s="226">
        <v>4331100</v>
      </c>
      <c r="M750" s="226">
        <v>4331100</v>
      </c>
      <c r="N750" s="224" t="s">
        <v>82</v>
      </c>
      <c r="O750" s="224" t="s">
        <v>126</v>
      </c>
    </row>
    <row r="751" spans="1:15" ht="15" customHeight="1" x14ac:dyDescent="0.25">
      <c r="A751" s="224" t="s">
        <v>4694</v>
      </c>
      <c r="B751" s="224" t="s">
        <v>18</v>
      </c>
      <c r="C751" s="224" t="s">
        <v>20</v>
      </c>
      <c r="D751" s="224" t="s">
        <v>19</v>
      </c>
      <c r="E751" s="224" t="s">
        <v>40</v>
      </c>
      <c r="F751" s="224" t="s">
        <v>68</v>
      </c>
      <c r="G751" s="224" t="s">
        <v>212</v>
      </c>
      <c r="H751" s="224" t="s">
        <v>74</v>
      </c>
      <c r="I751" s="224" t="s">
        <v>89</v>
      </c>
      <c r="J751" s="224"/>
      <c r="K751" s="224"/>
      <c r="L751" s="226">
        <v>111400</v>
      </c>
      <c r="M751" s="226">
        <v>111400</v>
      </c>
      <c r="N751" s="224" t="s">
        <v>225</v>
      </c>
      <c r="O751" s="224" t="s">
        <v>125</v>
      </c>
    </row>
    <row r="752" spans="1:15" ht="15" customHeight="1" x14ac:dyDescent="0.25">
      <c r="A752" s="223" t="s">
        <v>4694</v>
      </c>
      <c r="B752" s="224" t="s">
        <v>90</v>
      </c>
      <c r="C752" s="224" t="s">
        <v>20</v>
      </c>
      <c r="D752" s="225" t="s">
        <v>294</v>
      </c>
      <c r="E752" s="224" t="s">
        <v>295</v>
      </c>
      <c r="F752" s="224" t="s">
        <v>296</v>
      </c>
      <c r="G752" s="224" t="s">
        <v>2345</v>
      </c>
      <c r="H752" s="224" t="s">
        <v>219</v>
      </c>
      <c r="I752" s="224" t="s">
        <v>220</v>
      </c>
      <c r="J752" s="226"/>
      <c r="K752" s="226"/>
      <c r="L752" s="226">
        <v>100000</v>
      </c>
      <c r="M752" s="226">
        <v>100000</v>
      </c>
      <c r="N752" s="224" t="s">
        <v>225</v>
      </c>
      <c r="O752" s="224" t="s">
        <v>125</v>
      </c>
    </row>
    <row r="753" spans="1:15" ht="15" customHeight="1" x14ac:dyDescent="0.25">
      <c r="A753" s="224" t="s">
        <v>4694</v>
      </c>
      <c r="B753" s="224" t="s">
        <v>18</v>
      </c>
      <c r="C753" s="224" t="s">
        <v>20</v>
      </c>
      <c r="D753" s="224" t="s">
        <v>19</v>
      </c>
      <c r="E753" s="224" t="s">
        <v>40</v>
      </c>
      <c r="F753" s="224" t="s">
        <v>68</v>
      </c>
      <c r="G753" s="224" t="s">
        <v>73</v>
      </c>
      <c r="H753" s="224" t="s">
        <v>245</v>
      </c>
      <c r="I753" s="224" t="s">
        <v>89</v>
      </c>
      <c r="J753" s="224"/>
      <c r="K753" s="224"/>
      <c r="L753" s="226">
        <v>50000</v>
      </c>
      <c r="M753" s="226">
        <v>50000</v>
      </c>
      <c r="N753" s="224" t="s">
        <v>225</v>
      </c>
      <c r="O753" s="224" t="s">
        <v>125</v>
      </c>
    </row>
    <row r="754" spans="1:15" ht="15" customHeight="1" x14ac:dyDescent="0.25">
      <c r="A754" s="223" t="s">
        <v>566</v>
      </c>
      <c r="B754" s="224" t="s">
        <v>90</v>
      </c>
      <c r="C754" s="224" t="s">
        <v>181</v>
      </c>
      <c r="D754" s="225" t="s">
        <v>567</v>
      </c>
      <c r="E754" s="224" t="s">
        <v>568</v>
      </c>
      <c r="F754" s="224" t="s">
        <v>569</v>
      </c>
      <c r="G754" s="224" t="s">
        <v>73</v>
      </c>
      <c r="H754" s="224" t="s">
        <v>245</v>
      </c>
      <c r="I754" s="224" t="s">
        <v>224</v>
      </c>
      <c r="J754" s="226"/>
      <c r="K754" s="226"/>
      <c r="L754" s="226">
        <v>95906.45</v>
      </c>
      <c r="M754" s="226">
        <v>95906.45</v>
      </c>
      <c r="N754" s="224" t="s">
        <v>82</v>
      </c>
      <c r="O754" s="224" t="s">
        <v>214</v>
      </c>
    </row>
    <row r="755" spans="1:15" ht="15" customHeight="1" x14ac:dyDescent="0.25">
      <c r="A755" s="187" t="s">
        <v>813</v>
      </c>
      <c r="B755" s="61" t="s">
        <v>18</v>
      </c>
      <c r="C755" s="61" t="s">
        <v>181</v>
      </c>
      <c r="D755" s="199" t="s">
        <v>579</v>
      </c>
      <c r="E755" s="199" t="s">
        <v>1043</v>
      </c>
      <c r="F755" s="199" t="s">
        <v>1154</v>
      </c>
      <c r="G755" s="7" t="s">
        <v>2345</v>
      </c>
      <c r="H755" s="8" t="s">
        <v>78</v>
      </c>
      <c r="I755" s="199" t="s">
        <v>2581</v>
      </c>
      <c r="J755" s="235">
        <v>36361.480000000003</v>
      </c>
      <c r="K755" s="211">
        <v>39391.519999999997</v>
      </c>
      <c r="L755" s="211">
        <v>0</v>
      </c>
      <c r="M755" s="235">
        <v>75753</v>
      </c>
      <c r="N755" s="61" t="s">
        <v>79</v>
      </c>
      <c r="O755" s="61" t="s">
        <v>124</v>
      </c>
    </row>
    <row r="756" spans="1:15" ht="15" customHeight="1" x14ac:dyDescent="0.25">
      <c r="A756" s="187" t="s">
        <v>758</v>
      </c>
      <c r="B756" s="61" t="s">
        <v>18</v>
      </c>
      <c r="C756" s="61" t="s">
        <v>181</v>
      </c>
      <c r="D756" s="199" t="s">
        <v>181</v>
      </c>
      <c r="E756" s="199" t="s">
        <v>251</v>
      </c>
      <c r="F756" s="199" t="s">
        <v>251</v>
      </c>
      <c r="G756" s="7" t="s">
        <v>2345</v>
      </c>
      <c r="H756" s="199" t="s">
        <v>1209</v>
      </c>
      <c r="I756" s="199" t="s">
        <v>2284</v>
      </c>
      <c r="J756" s="235">
        <v>500000</v>
      </c>
      <c r="K756" s="211">
        <v>125000</v>
      </c>
      <c r="L756" s="211">
        <v>0</v>
      </c>
      <c r="M756" s="235">
        <v>625000</v>
      </c>
      <c r="N756" s="61" t="s">
        <v>82</v>
      </c>
      <c r="O756" s="61" t="s">
        <v>126</v>
      </c>
    </row>
    <row r="757" spans="1:15" ht="15" customHeight="1" x14ac:dyDescent="0.25">
      <c r="A757" s="187" t="s">
        <v>758</v>
      </c>
      <c r="B757" s="61" t="s">
        <v>18</v>
      </c>
      <c r="C757" s="61" t="s">
        <v>181</v>
      </c>
      <c r="D757" s="199" t="s">
        <v>181</v>
      </c>
      <c r="E757" s="199" t="s">
        <v>251</v>
      </c>
      <c r="F757" s="199" t="s">
        <v>1179</v>
      </c>
      <c r="G757" s="224" t="s">
        <v>212</v>
      </c>
      <c r="H757" s="199" t="s">
        <v>1209</v>
      </c>
      <c r="I757" s="199" t="s">
        <v>2284</v>
      </c>
      <c r="J757" s="235">
        <v>843.38</v>
      </c>
      <c r="K757" s="211">
        <v>210.62</v>
      </c>
      <c r="L757" s="211">
        <v>0</v>
      </c>
      <c r="M757" s="235">
        <v>1054</v>
      </c>
      <c r="N757" s="61" t="s">
        <v>82</v>
      </c>
      <c r="O757" s="61" t="s">
        <v>126</v>
      </c>
    </row>
    <row r="758" spans="1:15" ht="15" customHeight="1" x14ac:dyDescent="0.25">
      <c r="A758" s="187" t="s">
        <v>758</v>
      </c>
      <c r="B758" s="61" t="s">
        <v>18</v>
      </c>
      <c r="C758" s="61" t="s">
        <v>181</v>
      </c>
      <c r="D758" s="199" t="s">
        <v>181</v>
      </c>
      <c r="E758" s="199" t="s">
        <v>251</v>
      </c>
      <c r="F758" s="199" t="s">
        <v>251</v>
      </c>
      <c r="G758" s="7" t="s">
        <v>2345</v>
      </c>
      <c r="H758" s="199" t="s">
        <v>1209</v>
      </c>
      <c r="I758" s="199" t="s">
        <v>2781</v>
      </c>
      <c r="J758" s="235">
        <v>66073</v>
      </c>
      <c r="K758" s="211">
        <v>16518</v>
      </c>
      <c r="L758" s="211">
        <v>0</v>
      </c>
      <c r="M758" s="235">
        <v>82591</v>
      </c>
      <c r="N758" s="61" t="s">
        <v>82</v>
      </c>
      <c r="O758" s="61" t="s">
        <v>126</v>
      </c>
    </row>
    <row r="759" spans="1:15" ht="15" customHeight="1" x14ac:dyDescent="0.25">
      <c r="A759" s="187" t="s">
        <v>758</v>
      </c>
      <c r="B759" s="61" t="s">
        <v>18</v>
      </c>
      <c r="C759" s="61" t="s">
        <v>181</v>
      </c>
      <c r="D759" s="199" t="s">
        <v>181</v>
      </c>
      <c r="E759" s="199" t="s">
        <v>251</v>
      </c>
      <c r="F759" s="199" t="s">
        <v>1179</v>
      </c>
      <c r="G759" s="224" t="s">
        <v>212</v>
      </c>
      <c r="H759" s="199" t="s">
        <v>1209</v>
      </c>
      <c r="I759" s="199" t="s">
        <v>2781</v>
      </c>
      <c r="J759" s="235">
        <v>422</v>
      </c>
      <c r="K759" s="211">
        <v>106</v>
      </c>
      <c r="L759" s="211">
        <v>0</v>
      </c>
      <c r="M759" s="235">
        <v>528</v>
      </c>
      <c r="N759" s="61" t="s">
        <v>82</v>
      </c>
      <c r="O759" s="61" t="s">
        <v>126</v>
      </c>
    </row>
    <row r="760" spans="1:15" ht="15" customHeight="1" x14ac:dyDescent="0.25">
      <c r="A760" s="7" t="s">
        <v>3409</v>
      </c>
      <c r="B760" s="7" t="s">
        <v>18</v>
      </c>
      <c r="C760" s="7" t="s">
        <v>181</v>
      </c>
      <c r="D760" s="7" t="s">
        <v>181</v>
      </c>
      <c r="E760" s="7" t="s">
        <v>3408</v>
      </c>
      <c r="F760" s="7" t="s">
        <v>3407</v>
      </c>
      <c r="G760" s="7" t="s">
        <v>117</v>
      </c>
      <c r="H760" s="7" t="s">
        <v>119</v>
      </c>
      <c r="I760" s="7" t="s">
        <v>1276</v>
      </c>
      <c r="J760" s="209">
        <v>26991</v>
      </c>
      <c r="K760" s="209">
        <v>2999</v>
      </c>
      <c r="L760" s="209">
        <v>0</v>
      </c>
      <c r="M760" s="209">
        <v>29990</v>
      </c>
      <c r="N760" s="7" t="s">
        <v>624</v>
      </c>
      <c r="O760" s="7" t="s">
        <v>125</v>
      </c>
    </row>
    <row r="761" spans="1:15" ht="15" customHeight="1" x14ac:dyDescent="0.25">
      <c r="A761" s="223" t="s">
        <v>570</v>
      </c>
      <c r="B761" s="224" t="s">
        <v>90</v>
      </c>
      <c r="C761" s="224" t="s">
        <v>181</v>
      </c>
      <c r="D761" s="225" t="s">
        <v>571</v>
      </c>
      <c r="E761" s="224" t="s">
        <v>572</v>
      </c>
      <c r="F761" s="224" t="s">
        <v>573</v>
      </c>
      <c r="G761" s="224" t="s">
        <v>117</v>
      </c>
      <c r="H761" s="224" t="s">
        <v>119</v>
      </c>
      <c r="I761" s="224" t="s">
        <v>224</v>
      </c>
      <c r="J761" s="226"/>
      <c r="K761" s="226"/>
      <c r="L761" s="226">
        <v>508904</v>
      </c>
      <c r="M761" s="226">
        <v>508904</v>
      </c>
      <c r="N761" s="224" t="s">
        <v>82</v>
      </c>
      <c r="O761" s="224" t="s">
        <v>214</v>
      </c>
    </row>
    <row r="762" spans="1:15" ht="15" customHeight="1" x14ac:dyDescent="0.25">
      <c r="A762" s="223" t="s">
        <v>574</v>
      </c>
      <c r="B762" s="224" t="s">
        <v>90</v>
      </c>
      <c r="C762" s="224" t="s">
        <v>181</v>
      </c>
      <c r="D762" s="225" t="s">
        <v>575</v>
      </c>
      <c r="E762" s="224" t="s">
        <v>576</v>
      </c>
      <c r="F762" s="224" t="s">
        <v>577</v>
      </c>
      <c r="G762" s="224" t="s">
        <v>212</v>
      </c>
      <c r="H762" s="224" t="s">
        <v>213</v>
      </c>
      <c r="I762" s="224" t="s">
        <v>224</v>
      </c>
      <c r="J762" s="226"/>
      <c r="K762" s="226"/>
      <c r="L762" s="226">
        <v>1560000</v>
      </c>
      <c r="M762" s="226">
        <v>1560000</v>
      </c>
      <c r="N762" s="224" t="s">
        <v>82</v>
      </c>
      <c r="O762" s="224" t="s">
        <v>214</v>
      </c>
    </row>
    <row r="763" spans="1:15" ht="15" customHeight="1" x14ac:dyDescent="0.25">
      <c r="A763" s="187" t="s">
        <v>731</v>
      </c>
      <c r="B763" s="61" t="s">
        <v>90</v>
      </c>
      <c r="C763" s="61" t="s">
        <v>181</v>
      </c>
      <c r="D763" s="15" t="s">
        <v>180</v>
      </c>
      <c r="E763" s="199" t="s">
        <v>978</v>
      </c>
      <c r="F763" s="199" t="s">
        <v>1083</v>
      </c>
      <c r="G763" s="199" t="s">
        <v>2345</v>
      </c>
      <c r="H763" s="199" t="s">
        <v>1195</v>
      </c>
      <c r="I763" s="199" t="s">
        <v>1277</v>
      </c>
      <c r="J763" s="235">
        <v>23137.5</v>
      </c>
      <c r="K763" s="211">
        <v>5784.380000000001</v>
      </c>
      <c r="L763" s="211">
        <v>0</v>
      </c>
      <c r="M763" s="235">
        <v>28921.88</v>
      </c>
      <c r="N763" s="61" t="s">
        <v>4625</v>
      </c>
      <c r="O763" s="61" t="s">
        <v>124</v>
      </c>
    </row>
    <row r="764" spans="1:15" ht="15" customHeight="1" x14ac:dyDescent="0.25">
      <c r="A764" s="187" t="s">
        <v>808</v>
      </c>
      <c r="B764" s="61" t="s">
        <v>90</v>
      </c>
      <c r="C764" s="61" t="s">
        <v>181</v>
      </c>
      <c r="D764" s="199" t="s">
        <v>180</v>
      </c>
      <c r="E764" s="199" t="s">
        <v>978</v>
      </c>
      <c r="F764" s="199" t="s">
        <v>1149</v>
      </c>
      <c r="G764" s="7" t="s">
        <v>2345</v>
      </c>
      <c r="H764" s="199" t="s">
        <v>1195</v>
      </c>
      <c r="I764" s="199" t="s">
        <v>1277</v>
      </c>
      <c r="J764" s="235">
        <v>2149.0500000000002</v>
      </c>
      <c r="K764" s="211">
        <v>3223.95</v>
      </c>
      <c r="L764" s="211">
        <v>0</v>
      </c>
      <c r="M764" s="235">
        <v>5373</v>
      </c>
      <c r="N764" s="61" t="s">
        <v>4625</v>
      </c>
      <c r="O764" s="61" t="s">
        <v>124</v>
      </c>
    </row>
    <row r="765" spans="1:15" ht="15" customHeight="1" x14ac:dyDescent="0.25">
      <c r="A765" s="187" t="s">
        <v>746</v>
      </c>
      <c r="B765" s="61" t="s">
        <v>18</v>
      </c>
      <c r="C765" s="61" t="s">
        <v>181</v>
      </c>
      <c r="D765" s="199" t="s">
        <v>180</v>
      </c>
      <c r="E765" s="199" t="s">
        <v>991</v>
      </c>
      <c r="F765" s="199" t="s">
        <v>1098</v>
      </c>
      <c r="G765" s="7" t="s">
        <v>2345</v>
      </c>
      <c r="H765" s="199" t="s">
        <v>1195</v>
      </c>
      <c r="I765" s="199" t="s">
        <v>1277</v>
      </c>
      <c r="J765" s="235">
        <v>52008.58</v>
      </c>
      <c r="K765" s="211">
        <v>13002.419999999998</v>
      </c>
      <c r="L765" s="211">
        <v>0</v>
      </c>
      <c r="M765" s="235">
        <v>65011</v>
      </c>
      <c r="N765" s="61" t="s">
        <v>4625</v>
      </c>
      <c r="O765" s="61" t="s">
        <v>124</v>
      </c>
    </row>
    <row r="766" spans="1:15" ht="15" customHeight="1" x14ac:dyDescent="0.25">
      <c r="A766" s="187" t="s">
        <v>799</v>
      </c>
      <c r="B766" s="61" t="s">
        <v>18</v>
      </c>
      <c r="C766" s="61" t="s">
        <v>181</v>
      </c>
      <c r="D766" s="199" t="s">
        <v>4043</v>
      </c>
      <c r="E766" s="199" t="s">
        <v>4651</v>
      </c>
      <c r="F766" s="199" t="s">
        <v>4652</v>
      </c>
      <c r="G766" s="7" t="s">
        <v>2345</v>
      </c>
      <c r="H766" s="199" t="s">
        <v>1237</v>
      </c>
      <c r="I766" s="199" t="s">
        <v>2284</v>
      </c>
      <c r="J766" s="235">
        <v>3917.35</v>
      </c>
      <c r="K766" s="211">
        <v>979.65000000000009</v>
      </c>
      <c r="L766" s="211">
        <v>0</v>
      </c>
      <c r="M766" s="235">
        <v>4897</v>
      </c>
      <c r="N766" s="61" t="s">
        <v>4625</v>
      </c>
      <c r="O766" s="61" t="s">
        <v>124</v>
      </c>
    </row>
    <row r="767" spans="1:15" ht="15" customHeight="1" x14ac:dyDescent="0.25">
      <c r="A767" s="187" t="s">
        <v>799</v>
      </c>
      <c r="B767" s="61" t="s">
        <v>90</v>
      </c>
      <c r="C767" s="61" t="s">
        <v>181</v>
      </c>
      <c r="D767" s="199" t="s">
        <v>4043</v>
      </c>
      <c r="E767" s="199" t="s">
        <v>4651</v>
      </c>
      <c r="F767" s="199" t="s">
        <v>4652</v>
      </c>
      <c r="G767" s="7" t="s">
        <v>2345</v>
      </c>
      <c r="H767" s="199" t="s">
        <v>1237</v>
      </c>
      <c r="I767" s="199" t="s">
        <v>1277</v>
      </c>
      <c r="J767" s="235">
        <v>142772.13</v>
      </c>
      <c r="K767" s="211">
        <v>35692.869999999995</v>
      </c>
      <c r="L767" s="211">
        <v>0</v>
      </c>
      <c r="M767" s="235">
        <v>178465</v>
      </c>
      <c r="N767" s="61" t="s">
        <v>4625</v>
      </c>
      <c r="O767" s="61" t="s">
        <v>124</v>
      </c>
    </row>
    <row r="768" spans="1:15" ht="15" customHeight="1" x14ac:dyDescent="0.25">
      <c r="A768" s="223" t="s">
        <v>578</v>
      </c>
      <c r="B768" s="224" t="s">
        <v>18</v>
      </c>
      <c r="C768" s="224" t="s">
        <v>181</v>
      </c>
      <c r="D768" s="225" t="s">
        <v>579</v>
      </c>
      <c r="E768" s="224" t="s">
        <v>580</v>
      </c>
      <c r="F768" s="224" t="s">
        <v>581</v>
      </c>
      <c r="G768" s="224" t="s">
        <v>2345</v>
      </c>
      <c r="H768" s="224" t="s">
        <v>4711</v>
      </c>
      <c r="I768" s="224" t="s">
        <v>582</v>
      </c>
      <c r="J768" s="226"/>
      <c r="K768" s="226"/>
      <c r="L768" s="226">
        <v>323000</v>
      </c>
      <c r="M768" s="226">
        <v>323000</v>
      </c>
      <c r="N768" s="224" t="s">
        <v>4616</v>
      </c>
      <c r="O768" s="224" t="s">
        <v>124</v>
      </c>
    </row>
    <row r="769" spans="1:15" ht="15" customHeight="1" x14ac:dyDescent="0.25">
      <c r="A769" s="7" t="s">
        <v>578</v>
      </c>
      <c r="B769" s="7" t="s">
        <v>18</v>
      </c>
      <c r="C769" s="7" t="s">
        <v>181</v>
      </c>
      <c r="D769" s="7" t="s">
        <v>579</v>
      </c>
      <c r="E769" s="7" t="s">
        <v>580</v>
      </c>
      <c r="F769" s="7" t="s">
        <v>581</v>
      </c>
      <c r="G769" s="7" t="s">
        <v>2345</v>
      </c>
      <c r="H769" s="7" t="s">
        <v>1901</v>
      </c>
      <c r="I769" s="7" t="s">
        <v>1278</v>
      </c>
      <c r="J769" s="209">
        <v>250000</v>
      </c>
      <c r="K769" s="209">
        <v>0</v>
      </c>
      <c r="L769" s="209">
        <v>295600</v>
      </c>
      <c r="M769" s="209">
        <v>545600</v>
      </c>
      <c r="N769" s="7" t="s">
        <v>4616</v>
      </c>
      <c r="O769" s="7" t="s">
        <v>126</v>
      </c>
    </row>
    <row r="770" spans="1:15" ht="15" customHeight="1" x14ac:dyDescent="0.25">
      <c r="A770" s="7" t="s">
        <v>4044</v>
      </c>
      <c r="B770" s="7" t="s">
        <v>18</v>
      </c>
      <c r="C770" s="7" t="s">
        <v>181</v>
      </c>
      <c r="D770" s="7" t="s">
        <v>4043</v>
      </c>
      <c r="E770" s="7" t="s">
        <v>4042</v>
      </c>
      <c r="F770" s="7" t="s">
        <v>4041</v>
      </c>
      <c r="G770" s="7" t="s">
        <v>177</v>
      </c>
      <c r="H770" s="7" t="s">
        <v>178</v>
      </c>
      <c r="I770" s="7" t="s">
        <v>83</v>
      </c>
      <c r="J770" s="209">
        <v>0</v>
      </c>
      <c r="K770" s="209">
        <v>0</v>
      </c>
      <c r="L770" s="209">
        <v>100000</v>
      </c>
      <c r="M770" s="209">
        <v>100000</v>
      </c>
      <c r="N770" s="7" t="s">
        <v>79</v>
      </c>
      <c r="O770" s="7" t="s">
        <v>124</v>
      </c>
    </row>
    <row r="771" spans="1:15" ht="15" customHeight="1" x14ac:dyDescent="0.25">
      <c r="A771" s="7" t="s">
        <v>4044</v>
      </c>
      <c r="B771" s="7" t="s">
        <v>18</v>
      </c>
      <c r="C771" s="7" t="s">
        <v>181</v>
      </c>
      <c r="D771" s="7" t="s">
        <v>4043</v>
      </c>
      <c r="E771" s="7" t="s">
        <v>4042</v>
      </c>
      <c r="F771" s="7" t="s">
        <v>4041</v>
      </c>
      <c r="G771" s="7" t="s">
        <v>2345</v>
      </c>
      <c r="H771" s="7" t="s">
        <v>123</v>
      </c>
      <c r="I771" s="7" t="s">
        <v>2581</v>
      </c>
      <c r="J771" s="209">
        <v>1448748</v>
      </c>
      <c r="K771" s="209">
        <v>389406.2</v>
      </c>
      <c r="L771" s="209">
        <v>108876.80000000005</v>
      </c>
      <c r="M771" s="209">
        <v>1947031</v>
      </c>
      <c r="N771" s="7" t="s">
        <v>79</v>
      </c>
      <c r="O771" s="7" t="s">
        <v>124</v>
      </c>
    </row>
    <row r="772" spans="1:15" ht="15" customHeight="1" x14ac:dyDescent="0.25">
      <c r="A772" s="7" t="s">
        <v>3180</v>
      </c>
      <c r="B772" s="7" t="s">
        <v>18</v>
      </c>
      <c r="C772" s="7" t="s">
        <v>181</v>
      </c>
      <c r="D772" s="7" t="s">
        <v>181</v>
      </c>
      <c r="E772" s="7" t="s">
        <v>3179</v>
      </c>
      <c r="F772" s="7" t="s">
        <v>3178</v>
      </c>
      <c r="G772" s="7" t="s">
        <v>177</v>
      </c>
      <c r="H772" s="7" t="s">
        <v>178</v>
      </c>
      <c r="I772" s="7" t="s">
        <v>2581</v>
      </c>
      <c r="J772" s="209">
        <v>96000</v>
      </c>
      <c r="K772" s="209">
        <v>24000</v>
      </c>
      <c r="L772" s="209">
        <v>0</v>
      </c>
      <c r="M772" s="209">
        <v>120000</v>
      </c>
      <c r="N772" s="7" t="s">
        <v>4624</v>
      </c>
      <c r="O772" s="7" t="s">
        <v>124</v>
      </c>
    </row>
    <row r="773" spans="1:15" ht="15" customHeight="1" x14ac:dyDescent="0.25">
      <c r="A773" s="7" t="s">
        <v>3180</v>
      </c>
      <c r="B773" s="7" t="s">
        <v>18</v>
      </c>
      <c r="C773" s="7" t="s">
        <v>181</v>
      </c>
      <c r="D773" s="7" t="s">
        <v>181</v>
      </c>
      <c r="E773" s="7" t="s">
        <v>3179</v>
      </c>
      <c r="F773" s="7" t="s">
        <v>3178</v>
      </c>
      <c r="G773" s="7" t="s">
        <v>2345</v>
      </c>
      <c r="H773" s="7" t="s">
        <v>75</v>
      </c>
      <c r="I773" s="7" t="s">
        <v>2581</v>
      </c>
      <c r="J773" s="209">
        <v>883027</v>
      </c>
      <c r="K773" s="209">
        <v>220757</v>
      </c>
      <c r="L773" s="209">
        <v>0</v>
      </c>
      <c r="M773" s="209">
        <v>1103785</v>
      </c>
      <c r="N773" s="7" t="s">
        <v>4624</v>
      </c>
      <c r="O773" s="7" t="s">
        <v>124</v>
      </c>
    </row>
    <row r="774" spans="1:15" ht="15" customHeight="1" x14ac:dyDescent="0.25">
      <c r="A774" s="7" t="s">
        <v>4276</v>
      </c>
      <c r="B774" s="7" t="s">
        <v>18</v>
      </c>
      <c r="C774" s="7" t="s">
        <v>181</v>
      </c>
      <c r="D774" s="7" t="s">
        <v>4275</v>
      </c>
      <c r="E774" s="7" t="s">
        <v>4274</v>
      </c>
      <c r="F774" s="7" t="s">
        <v>4273</v>
      </c>
      <c r="G774" s="224" t="s">
        <v>212</v>
      </c>
      <c r="H774" s="7" t="s">
        <v>213</v>
      </c>
      <c r="I774" s="7" t="s">
        <v>1277</v>
      </c>
      <c r="J774" s="209">
        <v>115034</v>
      </c>
      <c r="K774" s="209">
        <v>28758.400000000001</v>
      </c>
      <c r="L774" s="209">
        <v>0</v>
      </c>
      <c r="M774" s="209">
        <v>143792</v>
      </c>
      <c r="N774" s="7" t="s">
        <v>4625</v>
      </c>
      <c r="O774" s="7" t="s">
        <v>124</v>
      </c>
    </row>
    <row r="775" spans="1:15" ht="15" customHeight="1" x14ac:dyDescent="0.25">
      <c r="A775" s="7" t="s">
        <v>4217</v>
      </c>
      <c r="B775" s="7" t="s">
        <v>18</v>
      </c>
      <c r="C775" s="7" t="s">
        <v>181</v>
      </c>
      <c r="D775" s="7" t="s">
        <v>4216</v>
      </c>
      <c r="E775" s="7" t="s">
        <v>4215</v>
      </c>
      <c r="F775" s="7" t="s">
        <v>4214</v>
      </c>
      <c r="G775" s="7" t="s">
        <v>177</v>
      </c>
      <c r="H775" s="7" t="s">
        <v>178</v>
      </c>
      <c r="I775" s="7" t="s">
        <v>2653</v>
      </c>
      <c r="J775" s="209">
        <v>16800</v>
      </c>
      <c r="K775" s="209">
        <v>4200</v>
      </c>
      <c r="L775" s="209">
        <v>0</v>
      </c>
      <c r="M775" s="209">
        <v>21000</v>
      </c>
      <c r="N775" s="7" t="s">
        <v>4616</v>
      </c>
      <c r="O775" s="7" t="s">
        <v>126</v>
      </c>
    </row>
    <row r="776" spans="1:15" ht="15" customHeight="1" x14ac:dyDescent="0.25">
      <c r="A776" s="7" t="s">
        <v>4217</v>
      </c>
      <c r="B776" s="7" t="s">
        <v>18</v>
      </c>
      <c r="C776" s="7" t="s">
        <v>181</v>
      </c>
      <c r="D776" s="7" t="s">
        <v>4216</v>
      </c>
      <c r="E776" s="7" t="s">
        <v>4215</v>
      </c>
      <c r="F776" s="7" t="s">
        <v>4214</v>
      </c>
      <c r="G776" s="7" t="s">
        <v>2345</v>
      </c>
      <c r="H776" s="7" t="s">
        <v>1901</v>
      </c>
      <c r="I776" s="7" t="s">
        <v>2653</v>
      </c>
      <c r="J776" s="209">
        <v>247600</v>
      </c>
      <c r="K776" s="209">
        <v>61900</v>
      </c>
      <c r="L776" s="209">
        <v>0</v>
      </c>
      <c r="M776" s="209">
        <v>309500</v>
      </c>
      <c r="N776" s="7" t="s">
        <v>4616</v>
      </c>
      <c r="O776" s="7" t="s">
        <v>126</v>
      </c>
    </row>
    <row r="777" spans="1:15" ht="15" customHeight="1" x14ac:dyDescent="0.25">
      <c r="A777" s="7" t="s">
        <v>3555</v>
      </c>
      <c r="B777" s="7" t="s">
        <v>18</v>
      </c>
      <c r="C777" s="7" t="s">
        <v>181</v>
      </c>
      <c r="D777" s="7" t="s">
        <v>181</v>
      </c>
      <c r="E777" s="7" t="s">
        <v>3554</v>
      </c>
      <c r="F777" s="7" t="s">
        <v>3553</v>
      </c>
      <c r="G777" s="7" t="s">
        <v>177</v>
      </c>
      <c r="H777" s="7" t="s">
        <v>178</v>
      </c>
      <c r="I777" s="7" t="s">
        <v>2653</v>
      </c>
      <c r="J777" s="209">
        <v>32000</v>
      </c>
      <c r="K777" s="209">
        <v>8000</v>
      </c>
      <c r="L777" s="209">
        <v>0</v>
      </c>
      <c r="M777" s="209">
        <v>40000</v>
      </c>
      <c r="N777" s="7" t="s">
        <v>4616</v>
      </c>
      <c r="O777" s="7" t="s">
        <v>126</v>
      </c>
    </row>
    <row r="778" spans="1:15" ht="15" customHeight="1" x14ac:dyDescent="0.25">
      <c r="A778" s="7" t="s">
        <v>3555</v>
      </c>
      <c r="B778" s="7" t="s">
        <v>18</v>
      </c>
      <c r="C778" s="7" t="s">
        <v>181</v>
      </c>
      <c r="D778" s="7" t="s">
        <v>181</v>
      </c>
      <c r="E778" s="7" t="s">
        <v>3554</v>
      </c>
      <c r="F778" s="7" t="s">
        <v>3553</v>
      </c>
      <c r="G778" s="7" t="s">
        <v>2345</v>
      </c>
      <c r="H778" s="7" t="s">
        <v>1901</v>
      </c>
      <c r="I778" s="7" t="s">
        <v>2653</v>
      </c>
      <c r="J778" s="209">
        <v>326840</v>
      </c>
      <c r="K778" s="209">
        <v>81710</v>
      </c>
      <c r="L778" s="209">
        <v>0</v>
      </c>
      <c r="M778" s="209">
        <v>408550</v>
      </c>
      <c r="N778" s="7" t="s">
        <v>4616</v>
      </c>
      <c r="O778" s="7" t="s">
        <v>126</v>
      </c>
    </row>
    <row r="779" spans="1:15" ht="15" customHeight="1" x14ac:dyDescent="0.25">
      <c r="A779" s="7" t="s">
        <v>3120</v>
      </c>
      <c r="B779" s="7" t="s">
        <v>18</v>
      </c>
      <c r="C779" s="7" t="s">
        <v>181</v>
      </c>
      <c r="D779" s="7" t="s">
        <v>571</v>
      </c>
      <c r="E779" s="7" t="s">
        <v>41</v>
      </c>
      <c r="F779" s="7" t="s">
        <v>3119</v>
      </c>
      <c r="G779" s="7" t="s">
        <v>2345</v>
      </c>
      <c r="H779" s="7" t="s">
        <v>3118</v>
      </c>
      <c r="I779" s="7" t="s">
        <v>2653</v>
      </c>
      <c r="J779" s="209">
        <v>140000</v>
      </c>
      <c r="K779" s="209">
        <v>35000</v>
      </c>
      <c r="L779" s="209">
        <v>79651</v>
      </c>
      <c r="M779" s="209">
        <v>254651</v>
      </c>
      <c r="N779" s="7" t="s">
        <v>4616</v>
      </c>
      <c r="O779" s="7" t="s">
        <v>124</v>
      </c>
    </row>
    <row r="780" spans="1:15" ht="15" customHeight="1" x14ac:dyDescent="0.25">
      <c r="A780" s="7" t="s">
        <v>2887</v>
      </c>
      <c r="B780" s="7" t="s">
        <v>90</v>
      </c>
      <c r="C780" s="7" t="s">
        <v>181</v>
      </c>
      <c r="D780" s="7" t="s">
        <v>180</v>
      </c>
      <c r="E780" s="7" t="s">
        <v>1051</v>
      </c>
      <c r="F780" s="7" t="s">
        <v>192</v>
      </c>
      <c r="G780" s="7" t="s">
        <v>2345</v>
      </c>
      <c r="H780" s="221" t="s">
        <v>148</v>
      </c>
      <c r="I780" s="7" t="s">
        <v>1275</v>
      </c>
      <c r="J780" s="209">
        <v>511200</v>
      </c>
      <c r="K780" s="209">
        <v>127800</v>
      </c>
      <c r="L780" s="209">
        <v>0</v>
      </c>
      <c r="M780" s="209">
        <v>639000</v>
      </c>
      <c r="N780" s="7" t="s">
        <v>4625</v>
      </c>
      <c r="O780" s="7" t="s">
        <v>125</v>
      </c>
    </row>
    <row r="781" spans="1:15" ht="15" customHeight="1" x14ac:dyDescent="0.25">
      <c r="A781" s="7" t="s">
        <v>2887</v>
      </c>
      <c r="B781" s="7" t="s">
        <v>90</v>
      </c>
      <c r="C781" s="7" t="s">
        <v>181</v>
      </c>
      <c r="D781" s="7" t="s">
        <v>180</v>
      </c>
      <c r="E781" s="7" t="s">
        <v>1051</v>
      </c>
      <c r="F781" s="7" t="s">
        <v>192</v>
      </c>
      <c r="G781" s="7" t="s">
        <v>177</v>
      </c>
      <c r="H781" s="7" t="s">
        <v>178</v>
      </c>
      <c r="I781" s="7" t="s">
        <v>1275</v>
      </c>
      <c r="J781" s="209">
        <v>56800</v>
      </c>
      <c r="K781" s="209">
        <v>14200</v>
      </c>
      <c r="L781" s="209">
        <v>0</v>
      </c>
      <c r="M781" s="209">
        <v>71000</v>
      </c>
      <c r="N781" s="7" t="s">
        <v>4625</v>
      </c>
      <c r="O781" s="7" t="s">
        <v>125</v>
      </c>
    </row>
    <row r="782" spans="1:15" ht="15" customHeight="1" x14ac:dyDescent="0.25">
      <c r="A782" s="7" t="s">
        <v>3367</v>
      </c>
      <c r="B782" s="7" t="s">
        <v>18</v>
      </c>
      <c r="C782" s="7" t="s">
        <v>181</v>
      </c>
      <c r="D782" s="7" t="s">
        <v>579</v>
      </c>
      <c r="E782" s="7" t="s">
        <v>3366</v>
      </c>
      <c r="F782" s="7" t="s">
        <v>3365</v>
      </c>
      <c r="G782" s="224" t="s">
        <v>212</v>
      </c>
      <c r="H782" s="7" t="s">
        <v>213</v>
      </c>
      <c r="I782" s="7" t="s">
        <v>2715</v>
      </c>
      <c r="J782" s="209">
        <v>9284</v>
      </c>
      <c r="K782" s="209">
        <v>2321</v>
      </c>
      <c r="L782" s="209">
        <v>0</v>
      </c>
      <c r="M782" s="209">
        <v>11605</v>
      </c>
      <c r="N782" s="7" t="s">
        <v>4616</v>
      </c>
      <c r="O782" s="7" t="s">
        <v>126</v>
      </c>
    </row>
    <row r="783" spans="1:15" ht="15" customHeight="1" x14ac:dyDescent="0.25">
      <c r="A783" s="7" t="s">
        <v>3331</v>
      </c>
      <c r="B783" s="7" t="s">
        <v>18</v>
      </c>
      <c r="C783" s="7" t="s">
        <v>181</v>
      </c>
      <c r="D783" s="7" t="s">
        <v>180</v>
      </c>
      <c r="E783" s="7" t="s">
        <v>41</v>
      </c>
      <c r="F783" s="7" t="s">
        <v>180</v>
      </c>
      <c r="G783" s="7" t="s">
        <v>2345</v>
      </c>
      <c r="H783" s="7" t="s">
        <v>4726</v>
      </c>
      <c r="I783" s="7" t="s">
        <v>3316</v>
      </c>
      <c r="J783" s="209">
        <v>24000</v>
      </c>
      <c r="K783" s="209">
        <v>6000</v>
      </c>
      <c r="L783" s="209">
        <v>0</v>
      </c>
      <c r="M783" s="209">
        <v>30000</v>
      </c>
      <c r="N783" s="61" t="s">
        <v>4621</v>
      </c>
      <c r="O783" s="7" t="s">
        <v>125</v>
      </c>
    </row>
    <row r="784" spans="1:15" ht="15" customHeight="1" x14ac:dyDescent="0.25">
      <c r="A784" s="7" t="s">
        <v>3324</v>
      </c>
      <c r="B784" s="7" t="s">
        <v>18</v>
      </c>
      <c r="C784" s="7" t="s">
        <v>181</v>
      </c>
      <c r="D784" s="7" t="s">
        <v>180</v>
      </c>
      <c r="E784" s="7" t="s">
        <v>3323</v>
      </c>
      <c r="F784" s="7" t="s">
        <v>3323</v>
      </c>
      <c r="G784" s="7" t="s">
        <v>2345</v>
      </c>
      <c r="H784" s="10" t="s">
        <v>4728</v>
      </c>
      <c r="I784" s="7" t="s">
        <v>3316</v>
      </c>
      <c r="J784" s="209">
        <v>160000</v>
      </c>
      <c r="K784" s="209">
        <v>40000</v>
      </c>
      <c r="L784" s="209">
        <v>0</v>
      </c>
      <c r="M784" s="209">
        <v>200000</v>
      </c>
      <c r="N784" s="7" t="s">
        <v>4616</v>
      </c>
      <c r="O784" s="7" t="s">
        <v>124</v>
      </c>
    </row>
    <row r="785" spans="1:15" ht="15" customHeight="1" x14ac:dyDescent="0.25">
      <c r="A785" s="7" t="s">
        <v>2239</v>
      </c>
      <c r="B785" s="7" t="s">
        <v>18</v>
      </c>
      <c r="C785" s="7" t="s">
        <v>181</v>
      </c>
      <c r="D785" s="7" t="s">
        <v>180</v>
      </c>
      <c r="E785" s="7" t="s">
        <v>3298</v>
      </c>
      <c r="F785" s="7" t="s">
        <v>3297</v>
      </c>
      <c r="G785" s="224" t="s">
        <v>212</v>
      </c>
      <c r="H785" s="7" t="s">
        <v>213</v>
      </c>
      <c r="I785" s="7" t="s">
        <v>2284</v>
      </c>
      <c r="J785" s="209">
        <v>53826</v>
      </c>
      <c r="K785" s="209">
        <v>13456.5</v>
      </c>
      <c r="L785" s="209">
        <v>0</v>
      </c>
      <c r="M785" s="209">
        <v>67282</v>
      </c>
      <c r="N785" s="7" t="s">
        <v>4616</v>
      </c>
      <c r="O785" s="7" t="s">
        <v>124</v>
      </c>
    </row>
    <row r="786" spans="1:15" ht="15" customHeight="1" x14ac:dyDescent="0.25">
      <c r="A786" s="224" t="s">
        <v>4704</v>
      </c>
      <c r="B786" s="224" t="s">
        <v>18</v>
      </c>
      <c r="C786" s="224" t="s">
        <v>181</v>
      </c>
      <c r="D786" s="229" t="s">
        <v>180</v>
      </c>
      <c r="E786" s="229" t="s">
        <v>41</v>
      </c>
      <c r="F786" s="229" t="s">
        <v>187</v>
      </c>
      <c r="G786" s="224" t="s">
        <v>2345</v>
      </c>
      <c r="H786" s="228" t="s">
        <v>147</v>
      </c>
      <c r="I786" s="229" t="s">
        <v>194</v>
      </c>
      <c r="J786" s="224"/>
      <c r="K786" s="224"/>
      <c r="L786" s="234">
        <v>4138000</v>
      </c>
      <c r="M786" s="234">
        <v>4138000</v>
      </c>
      <c r="N786" s="224" t="s">
        <v>225</v>
      </c>
      <c r="O786" s="224" t="s">
        <v>125</v>
      </c>
    </row>
    <row r="787" spans="1:15" ht="15" customHeight="1" x14ac:dyDescent="0.25">
      <c r="A787" s="224" t="s">
        <v>4704</v>
      </c>
      <c r="B787" s="224" t="s">
        <v>18</v>
      </c>
      <c r="C787" s="224" t="s">
        <v>181</v>
      </c>
      <c r="D787" s="229" t="s">
        <v>180</v>
      </c>
      <c r="E787" s="229" t="s">
        <v>185</v>
      </c>
      <c r="F787" s="229" t="s">
        <v>191</v>
      </c>
      <c r="G787" s="224" t="s">
        <v>2345</v>
      </c>
      <c r="H787" s="228" t="s">
        <v>75</v>
      </c>
      <c r="I787" s="229" t="s">
        <v>197</v>
      </c>
      <c r="J787" s="224"/>
      <c r="K787" s="224"/>
      <c r="L787" s="234">
        <v>966000</v>
      </c>
      <c r="M787" s="234">
        <v>966000</v>
      </c>
      <c r="N787" s="224" t="s">
        <v>4624</v>
      </c>
      <c r="O787" s="224" t="s">
        <v>124</v>
      </c>
    </row>
    <row r="788" spans="1:15" ht="15" customHeight="1" x14ac:dyDescent="0.25">
      <c r="A788" s="224" t="s">
        <v>4704</v>
      </c>
      <c r="B788" s="224" t="s">
        <v>18</v>
      </c>
      <c r="C788" s="224" t="s">
        <v>181</v>
      </c>
      <c r="D788" s="229" t="s">
        <v>180</v>
      </c>
      <c r="E788" s="229" t="s">
        <v>185</v>
      </c>
      <c r="F788" s="229" t="s">
        <v>191</v>
      </c>
      <c r="G788" s="224" t="s">
        <v>117</v>
      </c>
      <c r="H788" s="228" t="s">
        <v>119</v>
      </c>
      <c r="I788" s="229" t="s">
        <v>198</v>
      </c>
      <c r="J788" s="224"/>
      <c r="K788" s="224"/>
      <c r="L788" s="234">
        <v>446769</v>
      </c>
      <c r="M788" s="234">
        <v>446769</v>
      </c>
      <c r="N788" s="224" t="s">
        <v>4624</v>
      </c>
      <c r="O788" s="224" t="s">
        <v>124</v>
      </c>
    </row>
    <row r="789" spans="1:15" ht="15" customHeight="1" x14ac:dyDescent="0.25">
      <c r="A789" s="224" t="s">
        <v>4704</v>
      </c>
      <c r="B789" s="224" t="s">
        <v>18</v>
      </c>
      <c r="C789" s="224" t="s">
        <v>181</v>
      </c>
      <c r="D789" s="229" t="s">
        <v>180</v>
      </c>
      <c r="E789" s="229" t="s">
        <v>182</v>
      </c>
      <c r="F789" s="229" t="s">
        <v>188</v>
      </c>
      <c r="G789" s="224" t="s">
        <v>212</v>
      </c>
      <c r="H789" s="228" t="s">
        <v>119</v>
      </c>
      <c r="I789" s="229" t="s">
        <v>195</v>
      </c>
      <c r="J789" s="224"/>
      <c r="K789" s="224"/>
      <c r="L789" s="234">
        <v>67000</v>
      </c>
      <c r="M789" s="234">
        <v>67000</v>
      </c>
      <c r="N789" s="224" t="s">
        <v>4625</v>
      </c>
      <c r="O789" s="224" t="s">
        <v>124</v>
      </c>
    </row>
    <row r="790" spans="1:15" ht="15" customHeight="1" x14ac:dyDescent="0.25">
      <c r="A790" s="224" t="s">
        <v>4704</v>
      </c>
      <c r="B790" s="224" t="s">
        <v>18</v>
      </c>
      <c r="C790" s="224" t="s">
        <v>181</v>
      </c>
      <c r="D790" s="229" t="s">
        <v>180</v>
      </c>
      <c r="E790" s="229" t="s">
        <v>183</v>
      </c>
      <c r="F790" s="229" t="s">
        <v>189</v>
      </c>
      <c r="G790" s="224" t="s">
        <v>212</v>
      </c>
      <c r="H790" s="228" t="s">
        <v>119</v>
      </c>
      <c r="I790" s="229" t="s">
        <v>195</v>
      </c>
      <c r="J790" s="224"/>
      <c r="K790" s="224"/>
      <c r="L790" s="234">
        <v>68000</v>
      </c>
      <c r="M790" s="234">
        <v>68000</v>
      </c>
      <c r="N790" s="224" t="s">
        <v>4625</v>
      </c>
      <c r="O790" s="224" t="s">
        <v>124</v>
      </c>
    </row>
    <row r="791" spans="1:15" ht="15" customHeight="1" x14ac:dyDescent="0.25">
      <c r="A791" s="224" t="s">
        <v>4704</v>
      </c>
      <c r="B791" s="224" t="s">
        <v>18</v>
      </c>
      <c r="C791" s="224" t="s">
        <v>181</v>
      </c>
      <c r="D791" s="229" t="s">
        <v>180</v>
      </c>
      <c r="E791" s="230" t="s">
        <v>186</v>
      </c>
      <c r="F791" s="229" t="s">
        <v>192</v>
      </c>
      <c r="G791" s="224" t="s">
        <v>212</v>
      </c>
      <c r="H791" s="228" t="s">
        <v>119</v>
      </c>
      <c r="I791" s="229" t="s">
        <v>195</v>
      </c>
      <c r="J791" s="224"/>
      <c r="K791" s="224"/>
      <c r="L791" s="234">
        <v>84000</v>
      </c>
      <c r="M791" s="234">
        <v>84000</v>
      </c>
      <c r="N791" s="224" t="s">
        <v>4625</v>
      </c>
      <c r="O791" s="224" t="s">
        <v>124</v>
      </c>
    </row>
    <row r="792" spans="1:15" ht="15" customHeight="1" x14ac:dyDescent="0.25">
      <c r="A792" s="224" t="s">
        <v>4704</v>
      </c>
      <c r="B792" s="224" t="s">
        <v>18</v>
      </c>
      <c r="C792" s="224" t="s">
        <v>181</v>
      </c>
      <c r="D792" s="229" t="s">
        <v>180</v>
      </c>
      <c r="E792" s="230" t="s">
        <v>184</v>
      </c>
      <c r="F792" s="229" t="s">
        <v>190</v>
      </c>
      <c r="G792" s="224" t="s">
        <v>117</v>
      </c>
      <c r="H792" s="228" t="s">
        <v>119</v>
      </c>
      <c r="I792" s="229" t="s">
        <v>196</v>
      </c>
      <c r="J792" s="224"/>
      <c r="K792" s="224"/>
      <c r="L792" s="234">
        <v>2657410</v>
      </c>
      <c r="M792" s="234">
        <v>2657410</v>
      </c>
      <c r="N792" s="224" t="s">
        <v>4624</v>
      </c>
      <c r="O792" s="224" t="s">
        <v>124</v>
      </c>
    </row>
    <row r="793" spans="1:15" ht="15" customHeight="1" x14ac:dyDescent="0.25">
      <c r="A793" s="223" t="s">
        <v>584</v>
      </c>
      <c r="B793" s="224" t="s">
        <v>90</v>
      </c>
      <c r="C793" s="224" t="s">
        <v>2663</v>
      </c>
      <c r="D793" s="225" t="s">
        <v>291</v>
      </c>
      <c r="E793" s="224" t="s">
        <v>430</v>
      </c>
      <c r="F793" s="224" t="s">
        <v>585</v>
      </c>
      <c r="G793" s="224" t="s">
        <v>177</v>
      </c>
      <c r="H793" s="224" t="s">
        <v>178</v>
      </c>
      <c r="I793" s="224" t="s">
        <v>224</v>
      </c>
      <c r="J793" s="226"/>
      <c r="K793" s="226"/>
      <c r="L793" s="226">
        <v>155000</v>
      </c>
      <c r="M793" s="226">
        <v>155000</v>
      </c>
      <c r="N793" s="224" t="s">
        <v>82</v>
      </c>
      <c r="O793" s="224" t="s">
        <v>214</v>
      </c>
    </row>
    <row r="794" spans="1:15" ht="15" customHeight="1" x14ac:dyDescent="0.25">
      <c r="A794" s="223" t="s">
        <v>584</v>
      </c>
      <c r="B794" s="224" t="s">
        <v>90</v>
      </c>
      <c r="C794" s="224" t="s">
        <v>2663</v>
      </c>
      <c r="D794" s="225" t="s">
        <v>291</v>
      </c>
      <c r="E794" s="224" t="s">
        <v>430</v>
      </c>
      <c r="F794" s="224" t="s">
        <v>585</v>
      </c>
      <c r="G794" s="224" t="s">
        <v>177</v>
      </c>
      <c r="H794" s="224" t="s">
        <v>178</v>
      </c>
      <c r="I794" s="224" t="s">
        <v>224</v>
      </c>
      <c r="J794" s="226"/>
      <c r="K794" s="226"/>
      <c r="L794" s="226">
        <v>267285</v>
      </c>
      <c r="M794" s="226">
        <v>267285</v>
      </c>
      <c r="N794" s="224" t="s">
        <v>82</v>
      </c>
      <c r="O794" s="224" t="s">
        <v>214</v>
      </c>
    </row>
    <row r="795" spans="1:15" ht="15" customHeight="1" x14ac:dyDescent="0.25">
      <c r="A795" s="223" t="s">
        <v>586</v>
      </c>
      <c r="B795" s="224" t="s">
        <v>90</v>
      </c>
      <c r="C795" s="224" t="s">
        <v>2663</v>
      </c>
      <c r="D795" s="225" t="s">
        <v>587</v>
      </c>
      <c r="E795" s="224" t="s">
        <v>588</v>
      </c>
      <c r="F795" s="224" t="s">
        <v>589</v>
      </c>
      <c r="G795" s="224" t="s">
        <v>177</v>
      </c>
      <c r="H795" s="224" t="s">
        <v>178</v>
      </c>
      <c r="I795" s="224" t="s">
        <v>224</v>
      </c>
      <c r="J795" s="226"/>
      <c r="K795" s="226"/>
      <c r="L795" s="226">
        <v>705717</v>
      </c>
      <c r="M795" s="226">
        <v>705717</v>
      </c>
      <c r="N795" s="224" t="s">
        <v>4624</v>
      </c>
      <c r="O795" s="224" t="s">
        <v>124</v>
      </c>
    </row>
    <row r="796" spans="1:15" ht="15" customHeight="1" x14ac:dyDescent="0.25">
      <c r="A796" s="223" t="s">
        <v>586</v>
      </c>
      <c r="B796" s="224" t="s">
        <v>90</v>
      </c>
      <c r="C796" s="224" t="s">
        <v>2663</v>
      </c>
      <c r="D796" s="225" t="s">
        <v>587</v>
      </c>
      <c r="E796" s="224" t="s">
        <v>588</v>
      </c>
      <c r="F796" s="224" t="s">
        <v>589</v>
      </c>
      <c r="G796" s="224" t="s">
        <v>212</v>
      </c>
      <c r="H796" s="224" t="s">
        <v>213</v>
      </c>
      <c r="I796" s="224" t="s">
        <v>224</v>
      </c>
      <c r="J796" s="226"/>
      <c r="K796" s="226"/>
      <c r="L796" s="226">
        <v>276900</v>
      </c>
      <c r="M796" s="226">
        <v>276900</v>
      </c>
      <c r="N796" s="224" t="s">
        <v>4624</v>
      </c>
      <c r="O796" s="224" t="s">
        <v>124</v>
      </c>
    </row>
    <row r="797" spans="1:15" ht="15" customHeight="1" x14ac:dyDescent="0.25">
      <c r="A797" s="223" t="s">
        <v>590</v>
      </c>
      <c r="B797" s="224" t="s">
        <v>90</v>
      </c>
      <c r="C797" s="224" t="s">
        <v>2663</v>
      </c>
      <c r="D797" s="225" t="s">
        <v>591</v>
      </c>
      <c r="E797" s="224" t="s">
        <v>592</v>
      </c>
      <c r="F797" s="224" t="s">
        <v>593</v>
      </c>
      <c r="G797" s="224" t="s">
        <v>2345</v>
      </c>
      <c r="H797" s="224" t="s">
        <v>227</v>
      </c>
      <c r="I797" s="224" t="s">
        <v>224</v>
      </c>
      <c r="J797" s="226"/>
      <c r="K797" s="226"/>
      <c r="L797" s="226">
        <v>505</v>
      </c>
      <c r="M797" s="226">
        <v>505</v>
      </c>
      <c r="N797" s="224" t="s">
        <v>82</v>
      </c>
      <c r="O797" s="224" t="s">
        <v>214</v>
      </c>
    </row>
    <row r="798" spans="1:15" ht="15" customHeight="1" x14ac:dyDescent="0.25">
      <c r="A798" s="223" t="s">
        <v>590</v>
      </c>
      <c r="B798" s="224" t="s">
        <v>90</v>
      </c>
      <c r="C798" s="224" t="s">
        <v>2663</v>
      </c>
      <c r="D798" s="225" t="s">
        <v>591</v>
      </c>
      <c r="E798" s="224" t="s">
        <v>592</v>
      </c>
      <c r="F798" s="224" t="s">
        <v>593</v>
      </c>
      <c r="G798" s="224" t="s">
        <v>2345</v>
      </c>
      <c r="H798" s="224" t="s">
        <v>227</v>
      </c>
      <c r="I798" s="224" t="s">
        <v>224</v>
      </c>
      <c r="J798" s="226"/>
      <c r="K798" s="226"/>
      <c r="L798" s="226">
        <v>112500</v>
      </c>
      <c r="M798" s="226">
        <v>112500</v>
      </c>
      <c r="N798" s="224" t="s">
        <v>82</v>
      </c>
      <c r="O798" s="224" t="s">
        <v>214</v>
      </c>
    </row>
    <row r="799" spans="1:15" ht="15" customHeight="1" x14ac:dyDescent="0.25">
      <c r="A799" s="187" t="s">
        <v>793</v>
      </c>
      <c r="B799" s="61" t="s">
        <v>90</v>
      </c>
      <c r="C799" s="61" t="s">
        <v>2663</v>
      </c>
      <c r="D799" s="199" t="s">
        <v>137</v>
      </c>
      <c r="E799" s="199" t="s">
        <v>1027</v>
      </c>
      <c r="F799" s="199" t="s">
        <v>1137</v>
      </c>
      <c r="G799" s="7" t="s">
        <v>2345</v>
      </c>
      <c r="H799" s="7" t="s">
        <v>4729</v>
      </c>
      <c r="I799" s="199" t="s">
        <v>2284</v>
      </c>
      <c r="J799" s="235">
        <v>6227.78</v>
      </c>
      <c r="K799" s="211">
        <v>1556.2200000000003</v>
      </c>
      <c r="L799" s="211">
        <v>0</v>
      </c>
      <c r="M799" s="235">
        <v>7784</v>
      </c>
      <c r="N799" s="61" t="s">
        <v>4616</v>
      </c>
      <c r="O799" s="61" t="s">
        <v>125</v>
      </c>
    </row>
    <row r="800" spans="1:15" ht="15" customHeight="1" x14ac:dyDescent="0.25">
      <c r="A800" s="187" t="s">
        <v>814</v>
      </c>
      <c r="B800" s="61" t="s">
        <v>18</v>
      </c>
      <c r="C800" s="61" t="s">
        <v>2663</v>
      </c>
      <c r="D800" s="199" t="s">
        <v>137</v>
      </c>
      <c r="E800" s="199" t="s">
        <v>1044</v>
      </c>
      <c r="F800" s="199" t="s">
        <v>1155</v>
      </c>
      <c r="G800" s="7" t="s">
        <v>2345</v>
      </c>
      <c r="H800" s="7" t="s">
        <v>4085</v>
      </c>
      <c r="I800" s="199" t="s">
        <v>2581</v>
      </c>
      <c r="J800" s="235">
        <v>97002.97</v>
      </c>
      <c r="K800" s="211">
        <v>24251.03</v>
      </c>
      <c r="L800" s="211">
        <v>0</v>
      </c>
      <c r="M800" s="235">
        <v>121254</v>
      </c>
      <c r="N800" s="61" t="s">
        <v>82</v>
      </c>
      <c r="O800" s="61" t="s">
        <v>124</v>
      </c>
    </row>
    <row r="801" spans="1:15" ht="15" customHeight="1" x14ac:dyDescent="0.25">
      <c r="A801" s="7" t="s">
        <v>4202</v>
      </c>
      <c r="B801" s="7" t="s">
        <v>18</v>
      </c>
      <c r="C801" s="7" t="s">
        <v>2663</v>
      </c>
      <c r="D801" s="7" t="s">
        <v>3563</v>
      </c>
      <c r="E801" s="7" t="s">
        <v>1044</v>
      </c>
      <c r="F801" s="7" t="s">
        <v>4201</v>
      </c>
      <c r="G801" s="224" t="s">
        <v>212</v>
      </c>
      <c r="H801" s="7" t="s">
        <v>213</v>
      </c>
      <c r="I801" s="7" t="s">
        <v>2581</v>
      </c>
      <c r="J801" s="209">
        <v>500000</v>
      </c>
      <c r="K801" s="209">
        <v>125000</v>
      </c>
      <c r="L801" s="209">
        <v>1471806</v>
      </c>
      <c r="M801" s="209">
        <v>2096806</v>
      </c>
      <c r="N801" s="7" t="s">
        <v>82</v>
      </c>
      <c r="O801" s="7" t="s">
        <v>126</v>
      </c>
    </row>
    <row r="802" spans="1:15" ht="15" customHeight="1" x14ac:dyDescent="0.25">
      <c r="A802" s="223" t="s">
        <v>281</v>
      </c>
      <c r="B802" s="224" t="s">
        <v>90</v>
      </c>
      <c r="C802" s="224" t="s">
        <v>2663</v>
      </c>
      <c r="D802" s="225" t="s">
        <v>282</v>
      </c>
      <c r="E802" s="224" t="s">
        <v>233</v>
      </c>
      <c r="F802" s="224" t="s">
        <v>283</v>
      </c>
      <c r="G802" s="224" t="s">
        <v>73</v>
      </c>
      <c r="H802" s="224" t="s">
        <v>245</v>
      </c>
      <c r="I802" s="224" t="s">
        <v>224</v>
      </c>
      <c r="J802" s="226"/>
      <c r="K802" s="226"/>
      <c r="L802" s="226">
        <v>44965</v>
      </c>
      <c r="M802" s="226">
        <v>44965</v>
      </c>
      <c r="N802" s="224" t="s">
        <v>4624</v>
      </c>
      <c r="O802" s="224" t="s">
        <v>124</v>
      </c>
    </row>
    <row r="803" spans="1:15" ht="15" customHeight="1" x14ac:dyDescent="0.25">
      <c r="A803" s="187" t="s">
        <v>792</v>
      </c>
      <c r="B803" s="61" t="s">
        <v>90</v>
      </c>
      <c r="C803" s="61" t="s">
        <v>2663</v>
      </c>
      <c r="D803" s="199" t="s">
        <v>947</v>
      </c>
      <c r="E803" s="199" t="s">
        <v>1026</v>
      </c>
      <c r="F803" s="199" t="s">
        <v>1136</v>
      </c>
      <c r="G803" s="7" t="s">
        <v>2345</v>
      </c>
      <c r="H803" s="7" t="s">
        <v>651</v>
      </c>
      <c r="I803" s="199" t="s">
        <v>1275</v>
      </c>
      <c r="J803" s="235">
        <v>83601.31</v>
      </c>
      <c r="K803" s="211">
        <v>47025.69</v>
      </c>
      <c r="L803" s="211">
        <v>0</v>
      </c>
      <c r="M803" s="235">
        <v>130627</v>
      </c>
      <c r="N803" s="61" t="s">
        <v>4625</v>
      </c>
      <c r="O803" s="61" t="s">
        <v>125</v>
      </c>
    </row>
    <row r="804" spans="1:15" ht="15" customHeight="1" x14ac:dyDescent="0.25">
      <c r="A804" s="223" t="s">
        <v>594</v>
      </c>
      <c r="B804" s="224" t="s">
        <v>90</v>
      </c>
      <c r="C804" s="224" t="s">
        <v>2663</v>
      </c>
      <c r="D804" s="225" t="s">
        <v>209</v>
      </c>
      <c r="E804" s="224" t="s">
        <v>595</v>
      </c>
      <c r="F804" s="224" t="s">
        <v>596</v>
      </c>
      <c r="G804" s="224" t="s">
        <v>73</v>
      </c>
      <c r="H804" s="224" t="s">
        <v>245</v>
      </c>
      <c r="I804" s="224" t="s">
        <v>224</v>
      </c>
      <c r="J804" s="226"/>
      <c r="K804" s="226"/>
      <c r="L804" s="226">
        <v>379.5</v>
      </c>
      <c r="M804" s="226">
        <v>379.5</v>
      </c>
      <c r="N804" s="224" t="s">
        <v>387</v>
      </c>
      <c r="O804" s="224" t="s">
        <v>124</v>
      </c>
    </row>
    <row r="805" spans="1:15" ht="15" customHeight="1" x14ac:dyDescent="0.25">
      <c r="A805" s="7" t="s">
        <v>597</v>
      </c>
      <c r="B805" s="7" t="s">
        <v>90</v>
      </c>
      <c r="C805" s="7" t="s">
        <v>2663</v>
      </c>
      <c r="D805" s="7" t="s">
        <v>137</v>
      </c>
      <c r="E805" s="7" t="s">
        <v>3672</v>
      </c>
      <c r="F805" s="7" t="s">
        <v>3965</v>
      </c>
      <c r="G805" s="7" t="s">
        <v>2345</v>
      </c>
      <c r="H805" s="7" t="s">
        <v>1195</v>
      </c>
      <c r="I805" s="7" t="s">
        <v>1275</v>
      </c>
      <c r="J805" s="209">
        <v>4680000</v>
      </c>
      <c r="K805" s="209">
        <v>1170000</v>
      </c>
      <c r="L805" s="209">
        <v>0</v>
      </c>
      <c r="M805" s="209">
        <v>5850000</v>
      </c>
      <c r="N805" s="7" t="s">
        <v>4625</v>
      </c>
      <c r="O805" s="7" t="s">
        <v>124</v>
      </c>
    </row>
    <row r="806" spans="1:15" ht="15" customHeight="1" x14ac:dyDescent="0.25">
      <c r="A806" s="7" t="s">
        <v>597</v>
      </c>
      <c r="B806" s="7" t="s">
        <v>90</v>
      </c>
      <c r="C806" s="7" t="s">
        <v>2663</v>
      </c>
      <c r="D806" s="7" t="s">
        <v>137</v>
      </c>
      <c r="E806" s="7" t="s">
        <v>3672</v>
      </c>
      <c r="F806" s="7" t="s">
        <v>3965</v>
      </c>
      <c r="G806" s="7" t="s">
        <v>177</v>
      </c>
      <c r="H806" s="7" t="s">
        <v>178</v>
      </c>
      <c r="I806" s="7" t="s">
        <v>1275</v>
      </c>
      <c r="J806" s="209">
        <v>520000</v>
      </c>
      <c r="K806" s="209">
        <v>130000</v>
      </c>
      <c r="L806" s="209">
        <v>0</v>
      </c>
      <c r="M806" s="209">
        <v>650000</v>
      </c>
      <c r="N806" s="7" t="s">
        <v>4625</v>
      </c>
      <c r="O806" s="7" t="s">
        <v>124</v>
      </c>
    </row>
    <row r="807" spans="1:15" ht="15" customHeight="1" x14ac:dyDescent="0.25">
      <c r="A807" s="223" t="s">
        <v>597</v>
      </c>
      <c r="B807" s="224" t="s">
        <v>90</v>
      </c>
      <c r="C807" s="224" t="s">
        <v>2663</v>
      </c>
      <c r="D807" s="225" t="s">
        <v>598</v>
      </c>
      <c r="E807" s="224" t="s">
        <v>599</v>
      </c>
      <c r="F807" s="224" t="s">
        <v>600</v>
      </c>
      <c r="G807" s="224" t="s">
        <v>212</v>
      </c>
      <c r="H807" s="224" t="s">
        <v>213</v>
      </c>
      <c r="I807" s="224" t="s">
        <v>224</v>
      </c>
      <c r="J807" s="226"/>
      <c r="K807" s="226"/>
      <c r="L807" s="226">
        <v>90330</v>
      </c>
      <c r="M807" s="226">
        <v>90330</v>
      </c>
      <c r="N807" s="224" t="s">
        <v>4625</v>
      </c>
      <c r="O807" s="224" t="s">
        <v>124</v>
      </c>
    </row>
    <row r="808" spans="1:15" ht="15" customHeight="1" x14ac:dyDescent="0.25">
      <c r="A808" s="187" t="s">
        <v>826</v>
      </c>
      <c r="B808" s="61" t="s">
        <v>18</v>
      </c>
      <c r="C808" s="61" t="s">
        <v>2663</v>
      </c>
      <c r="D808" s="199" t="s">
        <v>137</v>
      </c>
      <c r="E808" s="199" t="s">
        <v>447</v>
      </c>
      <c r="F808" s="199" t="s">
        <v>4653</v>
      </c>
      <c r="G808" s="7" t="s">
        <v>2345</v>
      </c>
      <c r="H808" s="199" t="s">
        <v>4709</v>
      </c>
      <c r="I808" s="199" t="s">
        <v>2781</v>
      </c>
      <c r="J808" s="235">
        <v>19028.23</v>
      </c>
      <c r="K808" s="211">
        <v>16651.77</v>
      </c>
      <c r="L808" s="211">
        <v>0</v>
      </c>
      <c r="M808" s="235">
        <v>35680</v>
      </c>
      <c r="N808" s="61" t="s">
        <v>4621</v>
      </c>
      <c r="O808" s="61" t="s">
        <v>124</v>
      </c>
    </row>
    <row r="809" spans="1:15" ht="15" customHeight="1" x14ac:dyDescent="0.25">
      <c r="A809" s="223" t="s">
        <v>601</v>
      </c>
      <c r="B809" s="224" t="s">
        <v>90</v>
      </c>
      <c r="C809" s="224" t="s">
        <v>2663</v>
      </c>
      <c r="D809" s="225" t="s">
        <v>282</v>
      </c>
      <c r="E809" s="224" t="s">
        <v>233</v>
      </c>
      <c r="F809" s="224" t="s">
        <v>602</v>
      </c>
      <c r="G809" s="224" t="s">
        <v>73</v>
      </c>
      <c r="H809" s="224" t="s">
        <v>245</v>
      </c>
      <c r="I809" s="224" t="s">
        <v>224</v>
      </c>
      <c r="J809" s="226"/>
      <c r="K809" s="226"/>
      <c r="L809" s="226">
        <v>217282.27</v>
      </c>
      <c r="M809" s="226">
        <v>217282.27</v>
      </c>
      <c r="N809" s="224" t="s">
        <v>82</v>
      </c>
      <c r="O809" s="224" t="s">
        <v>214</v>
      </c>
    </row>
    <row r="810" spans="1:15" ht="15" customHeight="1" x14ac:dyDescent="0.25">
      <c r="A810" s="223" t="s">
        <v>601</v>
      </c>
      <c r="B810" s="224" t="s">
        <v>90</v>
      </c>
      <c r="C810" s="224" t="s">
        <v>2663</v>
      </c>
      <c r="D810" s="225" t="s">
        <v>282</v>
      </c>
      <c r="E810" s="224" t="s">
        <v>233</v>
      </c>
      <c r="F810" s="224" t="s">
        <v>283</v>
      </c>
      <c r="G810" s="224" t="s">
        <v>212</v>
      </c>
      <c r="H810" s="224" t="s">
        <v>213</v>
      </c>
      <c r="I810" s="224" t="s">
        <v>224</v>
      </c>
      <c r="J810" s="226"/>
      <c r="K810" s="226"/>
      <c r="L810" s="226">
        <v>1390451</v>
      </c>
      <c r="M810" s="226">
        <v>1390451</v>
      </c>
      <c r="N810" s="224" t="s">
        <v>82</v>
      </c>
      <c r="O810" s="224" t="s">
        <v>214</v>
      </c>
    </row>
    <row r="811" spans="1:15" ht="15" customHeight="1" x14ac:dyDescent="0.25">
      <c r="A811" s="223" t="s">
        <v>601</v>
      </c>
      <c r="B811" s="224" t="s">
        <v>90</v>
      </c>
      <c r="C811" s="224" t="s">
        <v>2663</v>
      </c>
      <c r="D811" s="225" t="s">
        <v>603</v>
      </c>
      <c r="E811" s="224" t="s">
        <v>604</v>
      </c>
      <c r="F811" s="224" t="s">
        <v>605</v>
      </c>
      <c r="G811" s="224" t="s">
        <v>212</v>
      </c>
      <c r="H811" s="224" t="s">
        <v>213</v>
      </c>
      <c r="I811" s="224" t="s">
        <v>224</v>
      </c>
      <c r="J811" s="226"/>
      <c r="K811" s="226"/>
      <c r="L811" s="226">
        <v>383413</v>
      </c>
      <c r="M811" s="226">
        <v>383413</v>
      </c>
      <c r="N811" s="224" t="s">
        <v>82</v>
      </c>
      <c r="O811" s="224" t="s">
        <v>214</v>
      </c>
    </row>
    <row r="812" spans="1:15" ht="15" customHeight="1" x14ac:dyDescent="0.25">
      <c r="A812" s="223" t="s">
        <v>606</v>
      </c>
      <c r="B812" s="224" t="s">
        <v>90</v>
      </c>
      <c r="C812" s="224" t="s">
        <v>2663</v>
      </c>
      <c r="D812" s="225" t="s">
        <v>607</v>
      </c>
      <c r="E812" s="224" t="s">
        <v>217</v>
      </c>
      <c r="F812" s="224" t="s">
        <v>608</v>
      </c>
      <c r="G812" s="224" t="s">
        <v>73</v>
      </c>
      <c r="H812" s="224" t="s">
        <v>245</v>
      </c>
      <c r="I812" s="224" t="s">
        <v>224</v>
      </c>
      <c r="J812" s="226"/>
      <c r="K812" s="226"/>
      <c r="L812" s="226">
        <v>51302.77</v>
      </c>
      <c r="M812" s="226">
        <v>51302.77</v>
      </c>
      <c r="N812" s="224" t="s">
        <v>4625</v>
      </c>
      <c r="O812" s="224" t="s">
        <v>124</v>
      </c>
    </row>
    <row r="813" spans="1:15" ht="15" customHeight="1" x14ac:dyDescent="0.25">
      <c r="A813" s="223" t="s">
        <v>609</v>
      </c>
      <c r="B813" s="224" t="s">
        <v>90</v>
      </c>
      <c r="C813" s="224" t="s">
        <v>2663</v>
      </c>
      <c r="D813" s="225" t="s">
        <v>610</v>
      </c>
      <c r="E813" s="224" t="s">
        <v>500</v>
      </c>
      <c r="F813" s="224" t="s">
        <v>611</v>
      </c>
      <c r="G813" s="224" t="s">
        <v>212</v>
      </c>
      <c r="H813" s="224" t="s">
        <v>213</v>
      </c>
      <c r="I813" s="224" t="s">
        <v>224</v>
      </c>
      <c r="J813" s="226"/>
      <c r="K813" s="226"/>
      <c r="L813" s="226">
        <v>218424</v>
      </c>
      <c r="M813" s="226">
        <v>218424</v>
      </c>
      <c r="N813" s="224" t="s">
        <v>82</v>
      </c>
      <c r="O813" s="224" t="s">
        <v>214</v>
      </c>
    </row>
    <row r="814" spans="1:15" ht="15" customHeight="1" x14ac:dyDescent="0.25">
      <c r="A814" s="187" t="s">
        <v>754</v>
      </c>
      <c r="B814" s="61" t="s">
        <v>90</v>
      </c>
      <c r="C814" s="61" t="s">
        <v>2663</v>
      </c>
      <c r="D814" s="199" t="s">
        <v>603</v>
      </c>
      <c r="E814" s="199" t="s">
        <v>999</v>
      </c>
      <c r="F814" s="199" t="s">
        <v>1107</v>
      </c>
      <c r="G814" s="7" t="s">
        <v>2345</v>
      </c>
      <c r="H814" s="199" t="s">
        <v>4741</v>
      </c>
      <c r="I814" s="199" t="s">
        <v>2581</v>
      </c>
      <c r="J814" s="235">
        <v>560</v>
      </c>
      <c r="K814" s="211">
        <v>140</v>
      </c>
      <c r="L814" s="211">
        <v>0</v>
      </c>
      <c r="M814" s="235">
        <v>700</v>
      </c>
      <c r="N814" s="61" t="s">
        <v>4625</v>
      </c>
      <c r="O814" s="61" t="s">
        <v>125</v>
      </c>
    </row>
    <row r="815" spans="1:15" ht="15" customHeight="1" x14ac:dyDescent="0.25">
      <c r="A815" s="187" t="s">
        <v>235</v>
      </c>
      <c r="B815" s="61" t="s">
        <v>90</v>
      </c>
      <c r="C815" s="61" t="s">
        <v>2663</v>
      </c>
      <c r="D815" s="199" t="s">
        <v>236</v>
      </c>
      <c r="E815" s="199" t="s">
        <v>233</v>
      </c>
      <c r="F815" s="199" t="s">
        <v>4673</v>
      </c>
      <c r="G815" s="199" t="s">
        <v>2345</v>
      </c>
      <c r="H815" s="199" t="s">
        <v>1196</v>
      </c>
      <c r="I815" s="199" t="s">
        <v>1275</v>
      </c>
      <c r="J815" s="235">
        <v>2985959</v>
      </c>
      <c r="K815" s="211">
        <v>483181</v>
      </c>
      <c r="L815" s="211">
        <v>0</v>
      </c>
      <c r="M815" s="235">
        <v>3469140</v>
      </c>
      <c r="N815" s="61" t="s">
        <v>4624</v>
      </c>
      <c r="O815" s="61" t="s">
        <v>125</v>
      </c>
    </row>
    <row r="816" spans="1:15" ht="15" customHeight="1" x14ac:dyDescent="0.25">
      <c r="A816" s="7" t="s">
        <v>235</v>
      </c>
      <c r="B816" s="7" t="s">
        <v>90</v>
      </c>
      <c r="C816" s="7" t="s">
        <v>2663</v>
      </c>
      <c r="D816" s="7" t="s">
        <v>236</v>
      </c>
      <c r="E816" s="7" t="s">
        <v>233</v>
      </c>
      <c r="F816" s="7" t="s">
        <v>1084</v>
      </c>
      <c r="G816" s="7" t="s">
        <v>177</v>
      </c>
      <c r="H816" s="7" t="s">
        <v>178</v>
      </c>
      <c r="I816" s="7" t="s">
        <v>1275</v>
      </c>
      <c r="J816" s="209">
        <v>450000</v>
      </c>
      <c r="K816" s="209">
        <v>50000</v>
      </c>
      <c r="L816" s="209">
        <v>0</v>
      </c>
      <c r="M816" s="209">
        <v>500000</v>
      </c>
      <c r="N816" s="7" t="s">
        <v>4624</v>
      </c>
      <c r="O816" s="7" t="s">
        <v>124</v>
      </c>
    </row>
    <row r="817" spans="1:15" ht="15" customHeight="1" x14ac:dyDescent="0.25">
      <c r="A817" s="7" t="s">
        <v>235</v>
      </c>
      <c r="B817" s="7" t="s">
        <v>90</v>
      </c>
      <c r="C817" s="7" t="s">
        <v>2663</v>
      </c>
      <c r="D817" s="7" t="s">
        <v>236</v>
      </c>
      <c r="E817" s="7" t="s">
        <v>233</v>
      </c>
      <c r="F817" s="7" t="s">
        <v>3968</v>
      </c>
      <c r="G817" s="7" t="s">
        <v>177</v>
      </c>
      <c r="H817" s="7" t="s">
        <v>178</v>
      </c>
      <c r="I817" s="7" t="s">
        <v>1275</v>
      </c>
      <c r="J817" s="209">
        <v>366300</v>
      </c>
      <c r="K817" s="209">
        <v>40700</v>
      </c>
      <c r="L817" s="209">
        <v>0</v>
      </c>
      <c r="M817" s="209">
        <v>407000</v>
      </c>
      <c r="N817" s="7" t="s">
        <v>4624</v>
      </c>
      <c r="O817" s="7" t="s">
        <v>124</v>
      </c>
    </row>
    <row r="818" spans="1:15" ht="15" customHeight="1" x14ac:dyDescent="0.25">
      <c r="A818" s="7" t="s">
        <v>235</v>
      </c>
      <c r="B818" s="7" t="s">
        <v>90</v>
      </c>
      <c r="C818" s="7" t="s">
        <v>2663</v>
      </c>
      <c r="D818" s="7" t="s">
        <v>236</v>
      </c>
      <c r="E818" s="7" t="s">
        <v>233</v>
      </c>
      <c r="F818" s="7" t="s">
        <v>1084</v>
      </c>
      <c r="G818" s="7" t="s">
        <v>2345</v>
      </c>
      <c r="H818" s="7" t="s">
        <v>4288</v>
      </c>
      <c r="I818" s="7" t="s">
        <v>1275</v>
      </c>
      <c r="J818" s="209">
        <v>4050000</v>
      </c>
      <c r="K818" s="209">
        <v>450000</v>
      </c>
      <c r="L818" s="209">
        <v>0</v>
      </c>
      <c r="M818" s="209">
        <v>4500000</v>
      </c>
      <c r="N818" s="7" t="s">
        <v>4624</v>
      </c>
      <c r="O818" s="7" t="s">
        <v>124</v>
      </c>
    </row>
    <row r="819" spans="1:15" ht="15" customHeight="1" x14ac:dyDescent="0.25">
      <c r="A819" s="7" t="s">
        <v>235</v>
      </c>
      <c r="B819" s="7" t="s">
        <v>90</v>
      </c>
      <c r="C819" s="7" t="s">
        <v>2663</v>
      </c>
      <c r="D819" s="7" t="s">
        <v>236</v>
      </c>
      <c r="E819" s="7" t="s">
        <v>233</v>
      </c>
      <c r="F819" s="7" t="s">
        <v>3968</v>
      </c>
      <c r="G819" s="7" t="s">
        <v>2345</v>
      </c>
      <c r="H819" s="7" t="s">
        <v>1196</v>
      </c>
      <c r="I819" s="7" t="s">
        <v>1275</v>
      </c>
      <c r="J819" s="209">
        <v>3116700</v>
      </c>
      <c r="K819" s="209">
        <v>366300</v>
      </c>
      <c r="L819" s="209">
        <v>180000</v>
      </c>
      <c r="M819" s="209">
        <v>3663000</v>
      </c>
      <c r="N819" s="7" t="s">
        <v>4624</v>
      </c>
      <c r="O819" s="7" t="s">
        <v>124</v>
      </c>
    </row>
    <row r="820" spans="1:15" ht="15" customHeight="1" x14ac:dyDescent="0.25">
      <c r="A820" s="223" t="s">
        <v>235</v>
      </c>
      <c r="B820" s="224" t="s">
        <v>90</v>
      </c>
      <c r="C820" s="224" t="s">
        <v>2663</v>
      </c>
      <c r="D820" s="225" t="s">
        <v>236</v>
      </c>
      <c r="E820" s="224" t="s">
        <v>233</v>
      </c>
      <c r="F820" s="224" t="s">
        <v>237</v>
      </c>
      <c r="G820" s="224" t="s">
        <v>177</v>
      </c>
      <c r="H820" s="224" t="s">
        <v>178</v>
      </c>
      <c r="I820" s="224" t="s">
        <v>224</v>
      </c>
      <c r="J820" s="226"/>
      <c r="K820" s="226"/>
      <c r="L820" s="226">
        <v>1500000</v>
      </c>
      <c r="M820" s="226">
        <v>1500000</v>
      </c>
      <c r="N820" s="224" t="s">
        <v>4624</v>
      </c>
      <c r="O820" s="224" t="s">
        <v>124</v>
      </c>
    </row>
    <row r="821" spans="1:15" ht="15" customHeight="1" x14ac:dyDescent="0.25">
      <c r="A821" s="223" t="s">
        <v>235</v>
      </c>
      <c r="B821" s="224" t="s">
        <v>90</v>
      </c>
      <c r="C821" s="224" t="s">
        <v>2663</v>
      </c>
      <c r="D821" s="225" t="s">
        <v>236</v>
      </c>
      <c r="E821" s="224" t="s">
        <v>233</v>
      </c>
      <c r="F821" s="224" t="s">
        <v>237</v>
      </c>
      <c r="G821" s="224" t="s">
        <v>73</v>
      </c>
      <c r="H821" s="224" t="s">
        <v>245</v>
      </c>
      <c r="I821" s="224" t="s">
        <v>224</v>
      </c>
      <c r="J821" s="226"/>
      <c r="K821" s="226"/>
      <c r="L821" s="226">
        <v>2513204.2400000002</v>
      </c>
      <c r="M821" s="226">
        <v>2513204.2400000002</v>
      </c>
      <c r="N821" s="224" t="s">
        <v>4624</v>
      </c>
      <c r="O821" s="224" t="s">
        <v>124</v>
      </c>
    </row>
    <row r="822" spans="1:15" ht="15" customHeight="1" x14ac:dyDescent="0.25">
      <c r="A822" s="223" t="s">
        <v>235</v>
      </c>
      <c r="B822" s="224" t="s">
        <v>90</v>
      </c>
      <c r="C822" s="224" t="s">
        <v>2663</v>
      </c>
      <c r="D822" s="225" t="s">
        <v>236</v>
      </c>
      <c r="E822" s="224" t="s">
        <v>233</v>
      </c>
      <c r="F822" s="224" t="s">
        <v>237</v>
      </c>
      <c r="G822" s="224" t="s">
        <v>212</v>
      </c>
      <c r="H822" s="224" t="s">
        <v>213</v>
      </c>
      <c r="I822" s="224" t="s">
        <v>224</v>
      </c>
      <c r="J822" s="226"/>
      <c r="K822" s="226"/>
      <c r="L822" s="226">
        <v>18998</v>
      </c>
      <c r="M822" s="226">
        <v>18998</v>
      </c>
      <c r="N822" s="224" t="s">
        <v>4624</v>
      </c>
      <c r="O822" s="224" t="s">
        <v>124</v>
      </c>
    </row>
    <row r="823" spans="1:15" ht="15" customHeight="1" x14ac:dyDescent="0.25">
      <c r="A823" s="223" t="s">
        <v>235</v>
      </c>
      <c r="B823" s="224" t="s">
        <v>90</v>
      </c>
      <c r="C823" s="224" t="s">
        <v>2663</v>
      </c>
      <c r="D823" s="225" t="s">
        <v>236</v>
      </c>
      <c r="E823" s="224" t="s">
        <v>233</v>
      </c>
      <c r="F823" s="224" t="s">
        <v>237</v>
      </c>
      <c r="G823" s="224" t="s">
        <v>2345</v>
      </c>
      <c r="H823" s="224" t="s">
        <v>219</v>
      </c>
      <c r="I823" s="224" t="s">
        <v>220</v>
      </c>
      <c r="J823" s="226"/>
      <c r="K823" s="226"/>
      <c r="L823" s="226">
        <v>65107.5</v>
      </c>
      <c r="M823" s="226">
        <v>65107.5</v>
      </c>
      <c r="N823" s="224" t="s">
        <v>4624</v>
      </c>
      <c r="O823" s="224" t="s">
        <v>124</v>
      </c>
    </row>
    <row r="824" spans="1:15" ht="15" customHeight="1" x14ac:dyDescent="0.25">
      <c r="A824" s="223" t="s">
        <v>235</v>
      </c>
      <c r="B824" s="224" t="s">
        <v>90</v>
      </c>
      <c r="C824" s="224" t="s">
        <v>2663</v>
      </c>
      <c r="D824" s="225" t="s">
        <v>236</v>
      </c>
      <c r="E824" s="224" t="s">
        <v>233</v>
      </c>
      <c r="F824" s="224" t="s">
        <v>237</v>
      </c>
      <c r="G824" s="224" t="s">
        <v>2345</v>
      </c>
      <c r="H824" s="224" t="s">
        <v>219</v>
      </c>
      <c r="I824" s="224" t="s">
        <v>220</v>
      </c>
      <c r="J824" s="226"/>
      <c r="K824" s="226"/>
      <c r="L824" s="226">
        <v>120000</v>
      </c>
      <c r="M824" s="226">
        <v>120000</v>
      </c>
      <c r="N824" s="224" t="s">
        <v>2791</v>
      </c>
      <c r="O824" s="224" t="s">
        <v>124</v>
      </c>
    </row>
    <row r="825" spans="1:15" ht="15" customHeight="1" x14ac:dyDescent="0.25">
      <c r="A825" s="7" t="s">
        <v>3485</v>
      </c>
      <c r="B825" s="7" t="s">
        <v>90</v>
      </c>
      <c r="C825" s="7" t="s">
        <v>2663</v>
      </c>
      <c r="D825" s="7" t="s">
        <v>3484</v>
      </c>
      <c r="E825" s="7" t="s">
        <v>3483</v>
      </c>
      <c r="F825" s="7" t="s">
        <v>3482</v>
      </c>
      <c r="G825" s="7" t="s">
        <v>2345</v>
      </c>
      <c r="H825" s="221" t="s">
        <v>148</v>
      </c>
      <c r="I825" s="7" t="s">
        <v>1275</v>
      </c>
      <c r="J825" s="209">
        <v>727856</v>
      </c>
      <c r="K825" s="209">
        <v>81524</v>
      </c>
      <c r="L825" s="209">
        <v>5860</v>
      </c>
      <c r="M825" s="209">
        <v>815240</v>
      </c>
      <c r="N825" s="7" t="s">
        <v>4625</v>
      </c>
      <c r="O825" s="7" t="s">
        <v>124</v>
      </c>
    </row>
    <row r="826" spans="1:15" ht="15" customHeight="1" x14ac:dyDescent="0.25">
      <c r="A826" s="7" t="s">
        <v>3485</v>
      </c>
      <c r="B826" s="7" t="s">
        <v>90</v>
      </c>
      <c r="C826" s="7" t="s">
        <v>2663</v>
      </c>
      <c r="D826" s="7" t="s">
        <v>3484</v>
      </c>
      <c r="E826" s="7" t="s">
        <v>3483</v>
      </c>
      <c r="F826" s="7" t="s">
        <v>3482</v>
      </c>
      <c r="G826" s="7" t="s">
        <v>177</v>
      </c>
      <c r="H826" s="7" t="s">
        <v>178</v>
      </c>
      <c r="I826" s="7" t="s">
        <v>1275</v>
      </c>
      <c r="J826" s="209">
        <v>109178</v>
      </c>
      <c r="K826" s="209">
        <v>12228.5</v>
      </c>
      <c r="L826" s="209">
        <v>0</v>
      </c>
      <c r="M826" s="209">
        <v>122285</v>
      </c>
      <c r="N826" s="7" t="s">
        <v>4625</v>
      </c>
      <c r="O826" s="7" t="s">
        <v>124</v>
      </c>
    </row>
    <row r="827" spans="1:15" ht="15" customHeight="1" x14ac:dyDescent="0.25">
      <c r="A827" s="7" t="s">
        <v>2244</v>
      </c>
      <c r="B827" s="7" t="s">
        <v>18</v>
      </c>
      <c r="C827" s="7" t="s">
        <v>2663</v>
      </c>
      <c r="D827" s="7" t="s">
        <v>282</v>
      </c>
      <c r="E827" s="7" t="s">
        <v>2951</v>
      </c>
      <c r="F827" s="7" t="s">
        <v>2950</v>
      </c>
      <c r="G827" s="7" t="s">
        <v>2345</v>
      </c>
      <c r="H827" s="7" t="s">
        <v>685</v>
      </c>
      <c r="I827" s="7" t="s">
        <v>2284</v>
      </c>
      <c r="J827" s="209">
        <v>35200</v>
      </c>
      <c r="K827" s="209">
        <v>8800</v>
      </c>
      <c r="L827" s="209">
        <v>0</v>
      </c>
      <c r="M827" s="209">
        <v>44000</v>
      </c>
      <c r="N827" s="7" t="s">
        <v>2286</v>
      </c>
      <c r="O827" s="7" t="s">
        <v>126</v>
      </c>
    </row>
    <row r="828" spans="1:15" ht="15" customHeight="1" x14ac:dyDescent="0.25">
      <c r="A828" s="187" t="s">
        <v>851</v>
      </c>
      <c r="B828" s="61" t="s">
        <v>18</v>
      </c>
      <c r="C828" s="61" t="s">
        <v>2663</v>
      </c>
      <c r="D828" s="199" t="s">
        <v>938</v>
      </c>
      <c r="E828" s="199" t="s">
        <v>1070</v>
      </c>
      <c r="F828" s="199" t="s">
        <v>1184</v>
      </c>
      <c r="G828" s="224" t="s">
        <v>212</v>
      </c>
      <c r="H828" s="7" t="s">
        <v>651</v>
      </c>
      <c r="I828" s="199" t="s">
        <v>2581</v>
      </c>
      <c r="J828" s="235">
        <v>5162</v>
      </c>
      <c r="K828" s="211">
        <v>1291</v>
      </c>
      <c r="L828" s="211">
        <v>0</v>
      </c>
      <c r="M828" s="235">
        <v>6453</v>
      </c>
      <c r="N828" s="61" t="s">
        <v>4625</v>
      </c>
      <c r="O828" s="61" t="s">
        <v>124</v>
      </c>
    </row>
    <row r="829" spans="1:15" ht="15" customHeight="1" x14ac:dyDescent="0.25">
      <c r="A829" s="187" t="s">
        <v>771</v>
      </c>
      <c r="B829" s="61" t="s">
        <v>90</v>
      </c>
      <c r="C829" s="61" t="s">
        <v>2663</v>
      </c>
      <c r="D829" s="199" t="s">
        <v>938</v>
      </c>
      <c r="E829" s="199" t="s">
        <v>35</v>
      </c>
      <c r="F829" s="199" t="s">
        <v>1117</v>
      </c>
      <c r="G829" s="7" t="s">
        <v>2345</v>
      </c>
      <c r="H829" s="199" t="s">
        <v>1195</v>
      </c>
      <c r="I829" s="199" t="s">
        <v>2581</v>
      </c>
      <c r="J829" s="235">
        <v>64709</v>
      </c>
      <c r="K829" s="211">
        <v>16177</v>
      </c>
      <c r="L829" s="211">
        <v>0</v>
      </c>
      <c r="M829" s="235">
        <v>80886</v>
      </c>
      <c r="N829" s="61" t="s">
        <v>4625</v>
      </c>
      <c r="O829" s="61" t="s">
        <v>124</v>
      </c>
    </row>
    <row r="830" spans="1:15" ht="15" customHeight="1" x14ac:dyDescent="0.25">
      <c r="A830" s="231" t="s">
        <v>612</v>
      </c>
      <c r="B830" s="224" t="s">
        <v>90</v>
      </c>
      <c r="C830" s="224" t="s">
        <v>2663</v>
      </c>
      <c r="D830" s="225" t="s">
        <v>613</v>
      </c>
      <c r="E830" s="224" t="s">
        <v>614</v>
      </c>
      <c r="F830" s="224" t="s">
        <v>615</v>
      </c>
      <c r="G830" s="224" t="s">
        <v>117</v>
      </c>
      <c r="H830" s="224" t="s">
        <v>119</v>
      </c>
      <c r="I830" s="224" t="s">
        <v>224</v>
      </c>
      <c r="J830" s="226"/>
      <c r="K830" s="226"/>
      <c r="L830" s="226">
        <v>1063159</v>
      </c>
      <c r="M830" s="226">
        <v>1063159</v>
      </c>
      <c r="N830" s="224" t="s">
        <v>79</v>
      </c>
      <c r="O830" s="224" t="s">
        <v>124</v>
      </c>
    </row>
    <row r="831" spans="1:15" ht="15" customHeight="1" x14ac:dyDescent="0.25">
      <c r="A831" s="7" t="s">
        <v>4510</v>
      </c>
      <c r="B831" s="7" t="s">
        <v>90</v>
      </c>
      <c r="C831" s="7" t="s">
        <v>2663</v>
      </c>
      <c r="D831" s="7" t="s">
        <v>291</v>
      </c>
      <c r="E831" s="7" t="s">
        <v>4509</v>
      </c>
      <c r="F831" s="7" t="s">
        <v>4508</v>
      </c>
      <c r="G831" s="224" t="s">
        <v>212</v>
      </c>
      <c r="H831" s="7" t="s">
        <v>213</v>
      </c>
      <c r="I831" s="7" t="s">
        <v>1277</v>
      </c>
      <c r="J831" s="209">
        <v>123410</v>
      </c>
      <c r="K831" s="209">
        <v>30852.400000000001</v>
      </c>
      <c r="L831" s="209">
        <v>0</v>
      </c>
      <c r="M831" s="209">
        <v>154262</v>
      </c>
      <c r="N831" s="7" t="s">
        <v>4625</v>
      </c>
      <c r="O831" s="7" t="s">
        <v>125</v>
      </c>
    </row>
    <row r="832" spans="1:15" ht="15" customHeight="1" x14ac:dyDescent="0.25">
      <c r="A832" s="7" t="s">
        <v>2785</v>
      </c>
      <c r="B832" s="7" t="s">
        <v>18</v>
      </c>
      <c r="C832" s="7" t="s">
        <v>2663</v>
      </c>
      <c r="D832" s="7" t="s">
        <v>2784</v>
      </c>
      <c r="E832" s="7" t="s">
        <v>2783</v>
      </c>
      <c r="F832" s="7" t="s">
        <v>2782</v>
      </c>
      <c r="G832" s="7" t="s">
        <v>177</v>
      </c>
      <c r="H832" s="7" t="s">
        <v>178</v>
      </c>
      <c r="I832" s="7" t="s">
        <v>2781</v>
      </c>
      <c r="J832" s="209">
        <v>64000</v>
      </c>
      <c r="K832" s="209">
        <v>16000</v>
      </c>
      <c r="L832" s="209">
        <v>0</v>
      </c>
      <c r="M832" s="209">
        <v>80000</v>
      </c>
      <c r="N832" s="7" t="s">
        <v>4616</v>
      </c>
      <c r="O832" s="7" t="s">
        <v>124</v>
      </c>
    </row>
    <row r="833" spans="1:15" ht="15" customHeight="1" x14ac:dyDescent="0.25">
      <c r="A833" s="7" t="s">
        <v>2785</v>
      </c>
      <c r="B833" s="7" t="s">
        <v>18</v>
      </c>
      <c r="C833" s="7" t="s">
        <v>2663</v>
      </c>
      <c r="D833" s="7" t="s">
        <v>2784</v>
      </c>
      <c r="E833" s="7" t="s">
        <v>2783</v>
      </c>
      <c r="F833" s="7" t="s">
        <v>2782</v>
      </c>
      <c r="G833" s="7" t="s">
        <v>2345</v>
      </c>
      <c r="H833" s="7" t="s">
        <v>4711</v>
      </c>
      <c r="I833" s="7" t="s">
        <v>2781</v>
      </c>
      <c r="J833" s="209">
        <v>448002</v>
      </c>
      <c r="K833" s="209">
        <v>176159</v>
      </c>
      <c r="L833" s="209">
        <v>256634</v>
      </c>
      <c r="M833" s="209">
        <v>880795</v>
      </c>
      <c r="N833" s="7" t="s">
        <v>4616</v>
      </c>
      <c r="O833" s="7" t="s">
        <v>124</v>
      </c>
    </row>
    <row r="834" spans="1:15" ht="15" customHeight="1" x14ac:dyDescent="0.25">
      <c r="A834" s="187" t="s">
        <v>858</v>
      </c>
      <c r="B834" s="61" t="s">
        <v>90</v>
      </c>
      <c r="C834" s="61" t="s">
        <v>2663</v>
      </c>
      <c r="D834" s="199" t="s">
        <v>938</v>
      </c>
      <c r="E834" s="199" t="s">
        <v>4682</v>
      </c>
      <c r="F834" s="199" t="s">
        <v>1187</v>
      </c>
      <c r="G834" s="7" t="s">
        <v>117</v>
      </c>
      <c r="H834" s="199" t="s">
        <v>1195</v>
      </c>
      <c r="I834" s="199" t="s">
        <v>1277</v>
      </c>
      <c r="J834" s="235">
        <v>29930</v>
      </c>
      <c r="K834" s="211">
        <v>7483</v>
      </c>
      <c r="L834" s="211">
        <v>0</v>
      </c>
      <c r="M834" s="235">
        <v>37413</v>
      </c>
      <c r="N834" s="61" t="s">
        <v>4625</v>
      </c>
      <c r="O834" s="61" t="s">
        <v>125</v>
      </c>
    </row>
    <row r="835" spans="1:15" ht="15" customHeight="1" x14ac:dyDescent="0.25">
      <c r="A835" s="7" t="s">
        <v>4179</v>
      </c>
      <c r="B835" s="7" t="s">
        <v>18</v>
      </c>
      <c r="C835" s="7" t="s">
        <v>2663</v>
      </c>
      <c r="D835" s="7" t="s">
        <v>291</v>
      </c>
      <c r="E835" s="7" t="s">
        <v>4178</v>
      </c>
      <c r="F835" s="7" t="s">
        <v>4177</v>
      </c>
      <c r="G835" s="7" t="s">
        <v>2345</v>
      </c>
      <c r="H835" s="8" t="s">
        <v>219</v>
      </c>
      <c r="I835" s="7" t="s">
        <v>83</v>
      </c>
      <c r="J835" s="209">
        <v>0</v>
      </c>
      <c r="K835" s="209">
        <v>0</v>
      </c>
      <c r="L835" s="209">
        <v>62000</v>
      </c>
      <c r="M835" s="209">
        <v>62000</v>
      </c>
      <c r="N835" s="7" t="s">
        <v>79</v>
      </c>
      <c r="O835" s="7" t="s">
        <v>124</v>
      </c>
    </row>
    <row r="836" spans="1:15" ht="15" customHeight="1" x14ac:dyDescent="0.25">
      <c r="A836" s="7" t="s">
        <v>4179</v>
      </c>
      <c r="B836" s="7" t="s">
        <v>18</v>
      </c>
      <c r="C836" s="7" t="s">
        <v>2663</v>
      </c>
      <c r="D836" s="7" t="s">
        <v>291</v>
      </c>
      <c r="E836" s="7" t="s">
        <v>4178</v>
      </c>
      <c r="F836" s="7" t="s">
        <v>4177</v>
      </c>
      <c r="G836" s="7" t="s">
        <v>177</v>
      </c>
      <c r="H836" s="7" t="s">
        <v>178</v>
      </c>
      <c r="I836" s="7" t="s">
        <v>2581</v>
      </c>
      <c r="J836" s="209">
        <v>120000</v>
      </c>
      <c r="K836" s="209">
        <v>50000</v>
      </c>
      <c r="L836" s="209">
        <v>80000</v>
      </c>
      <c r="M836" s="209">
        <v>250000</v>
      </c>
      <c r="N836" s="7" t="s">
        <v>79</v>
      </c>
      <c r="O836" s="7" t="s">
        <v>124</v>
      </c>
    </row>
    <row r="837" spans="1:15" ht="15" customHeight="1" x14ac:dyDescent="0.25">
      <c r="A837" s="7" t="s">
        <v>4179</v>
      </c>
      <c r="B837" s="7" t="s">
        <v>18</v>
      </c>
      <c r="C837" s="7" t="s">
        <v>2663</v>
      </c>
      <c r="D837" s="7" t="s">
        <v>291</v>
      </c>
      <c r="E837" s="7" t="s">
        <v>4178</v>
      </c>
      <c r="F837" s="7" t="s">
        <v>4177</v>
      </c>
      <c r="G837" s="7" t="s">
        <v>2345</v>
      </c>
      <c r="H837" s="7" t="s">
        <v>123</v>
      </c>
      <c r="I837" s="7" t="s">
        <v>2581</v>
      </c>
      <c r="J837" s="209">
        <v>2380000</v>
      </c>
      <c r="K837" s="209">
        <v>786400</v>
      </c>
      <c r="L837" s="209">
        <v>765600</v>
      </c>
      <c r="M837" s="209">
        <v>3932000</v>
      </c>
      <c r="N837" s="7" t="s">
        <v>79</v>
      </c>
      <c r="O837" s="7" t="s">
        <v>124</v>
      </c>
    </row>
    <row r="838" spans="1:15" ht="15" customHeight="1" x14ac:dyDescent="0.25">
      <c r="A838" s="7" t="s">
        <v>2672</v>
      </c>
      <c r="B838" s="7" t="s">
        <v>18</v>
      </c>
      <c r="C838" s="7" t="s">
        <v>2663</v>
      </c>
      <c r="D838" s="7" t="s">
        <v>955</v>
      </c>
      <c r="E838" s="7" t="s">
        <v>2671</v>
      </c>
      <c r="F838" s="7" t="s">
        <v>2670</v>
      </c>
      <c r="G838" s="7" t="s">
        <v>177</v>
      </c>
      <c r="H838" s="7" t="s">
        <v>178</v>
      </c>
      <c r="I838" s="7" t="s">
        <v>2581</v>
      </c>
      <c r="J838" s="209">
        <v>324000</v>
      </c>
      <c r="K838" s="209">
        <v>81000</v>
      </c>
      <c r="L838" s="209">
        <v>0</v>
      </c>
      <c r="M838" s="209">
        <v>405000</v>
      </c>
      <c r="N838" s="7" t="s">
        <v>79</v>
      </c>
      <c r="O838" s="7" t="s">
        <v>124</v>
      </c>
    </row>
    <row r="839" spans="1:15" ht="15" customHeight="1" x14ac:dyDescent="0.25">
      <c r="A839" s="7" t="s">
        <v>2672</v>
      </c>
      <c r="B839" s="7" t="s">
        <v>18</v>
      </c>
      <c r="C839" s="7" t="s">
        <v>2663</v>
      </c>
      <c r="D839" s="7" t="s">
        <v>955</v>
      </c>
      <c r="E839" s="7" t="s">
        <v>2671</v>
      </c>
      <c r="F839" s="7" t="s">
        <v>2670</v>
      </c>
      <c r="G839" s="7" t="s">
        <v>2345</v>
      </c>
      <c r="H839" s="7" t="s">
        <v>2669</v>
      </c>
      <c r="I839" s="7" t="s">
        <v>2581</v>
      </c>
      <c r="J839" s="209">
        <v>2800000</v>
      </c>
      <c r="K839" s="209">
        <v>700000</v>
      </c>
      <c r="L839" s="209">
        <v>0</v>
      </c>
      <c r="M839" s="209">
        <v>3500000</v>
      </c>
      <c r="N839" s="7" t="s">
        <v>79</v>
      </c>
      <c r="O839" s="7" t="s">
        <v>124</v>
      </c>
    </row>
    <row r="840" spans="1:15" ht="15" customHeight="1" x14ac:dyDescent="0.25">
      <c r="A840" s="223" t="s">
        <v>617</v>
      </c>
      <c r="B840" s="224" t="s">
        <v>18</v>
      </c>
      <c r="C840" s="224" t="s">
        <v>2663</v>
      </c>
      <c r="D840" s="225" t="s">
        <v>618</v>
      </c>
      <c r="E840" s="224" t="s">
        <v>619</v>
      </c>
      <c r="F840" s="224" t="s">
        <v>620</v>
      </c>
      <c r="G840" s="224" t="s">
        <v>73</v>
      </c>
      <c r="H840" s="224" t="s">
        <v>245</v>
      </c>
      <c r="I840" s="224" t="s">
        <v>224</v>
      </c>
      <c r="J840" s="226"/>
      <c r="K840" s="226"/>
      <c r="L840" s="226">
        <v>150000</v>
      </c>
      <c r="M840" s="226">
        <v>150000</v>
      </c>
      <c r="N840" s="224" t="s">
        <v>4624</v>
      </c>
      <c r="O840" s="224" t="s">
        <v>124</v>
      </c>
    </row>
    <row r="841" spans="1:15" ht="15" customHeight="1" x14ac:dyDescent="0.25">
      <c r="A841" s="7" t="s">
        <v>4092</v>
      </c>
      <c r="B841" s="7" t="s">
        <v>18</v>
      </c>
      <c r="C841" s="7" t="s">
        <v>2663</v>
      </c>
      <c r="D841" s="7" t="s">
        <v>3484</v>
      </c>
      <c r="E841" s="7" t="s">
        <v>4091</v>
      </c>
      <c r="F841" s="7" t="s">
        <v>4090</v>
      </c>
      <c r="G841" s="7" t="s">
        <v>177</v>
      </c>
      <c r="H841" s="7" t="s">
        <v>178</v>
      </c>
      <c r="I841" s="7" t="s">
        <v>2581</v>
      </c>
      <c r="J841" s="209">
        <v>200000</v>
      </c>
      <c r="K841" s="209">
        <v>50000</v>
      </c>
      <c r="L841" s="209">
        <v>0</v>
      </c>
      <c r="M841" s="209">
        <v>250000</v>
      </c>
      <c r="N841" s="7" t="s">
        <v>4624</v>
      </c>
      <c r="O841" s="7" t="s">
        <v>124</v>
      </c>
    </row>
    <row r="842" spans="1:15" ht="15" customHeight="1" x14ac:dyDescent="0.25">
      <c r="A842" s="7" t="s">
        <v>4092</v>
      </c>
      <c r="B842" s="7" t="s">
        <v>18</v>
      </c>
      <c r="C842" s="7" t="s">
        <v>2663</v>
      </c>
      <c r="D842" s="7" t="s">
        <v>3484</v>
      </c>
      <c r="E842" s="7" t="s">
        <v>4091</v>
      </c>
      <c r="F842" s="7" t="s">
        <v>4090</v>
      </c>
      <c r="G842" s="7" t="s">
        <v>2345</v>
      </c>
      <c r="H842" s="7" t="s">
        <v>75</v>
      </c>
      <c r="I842" s="7" t="s">
        <v>2581</v>
      </c>
      <c r="J842" s="209">
        <v>1260142</v>
      </c>
      <c r="K842" s="209">
        <v>315035.80000000005</v>
      </c>
      <c r="L842" s="209">
        <v>0</v>
      </c>
      <c r="M842" s="209">
        <v>1575179</v>
      </c>
      <c r="N842" s="7" t="s">
        <v>4624</v>
      </c>
      <c r="O842" s="7" t="s">
        <v>124</v>
      </c>
    </row>
    <row r="843" spans="1:15" ht="15" customHeight="1" x14ac:dyDescent="0.25">
      <c r="A843" s="187" t="s">
        <v>820</v>
      </c>
      <c r="B843" s="61" t="s">
        <v>18</v>
      </c>
      <c r="C843" s="61" t="s">
        <v>2663</v>
      </c>
      <c r="D843" s="199" t="s">
        <v>607</v>
      </c>
      <c r="E843" s="199" t="s">
        <v>1048</v>
      </c>
      <c r="F843" s="199" t="s">
        <v>1159</v>
      </c>
      <c r="G843" s="7" t="s">
        <v>2345</v>
      </c>
      <c r="H843" s="10" t="s">
        <v>4728</v>
      </c>
      <c r="I843" s="199" t="s">
        <v>2284</v>
      </c>
      <c r="J843" s="235">
        <v>28000</v>
      </c>
      <c r="K843" s="211">
        <v>7000</v>
      </c>
      <c r="L843" s="211">
        <v>0</v>
      </c>
      <c r="M843" s="235">
        <v>35000</v>
      </c>
      <c r="N843" s="61" t="s">
        <v>4616</v>
      </c>
      <c r="O843" s="61" t="s">
        <v>126</v>
      </c>
    </row>
    <row r="844" spans="1:15" ht="15" customHeight="1" x14ac:dyDescent="0.25">
      <c r="A844" s="7" t="s">
        <v>2664</v>
      </c>
      <c r="B844" s="7" t="s">
        <v>90</v>
      </c>
      <c r="C844" s="7" t="s">
        <v>2663</v>
      </c>
      <c r="D844" s="7" t="s">
        <v>137</v>
      </c>
      <c r="E844" s="7" t="s">
        <v>447</v>
      </c>
      <c r="F844" s="7" t="s">
        <v>2662</v>
      </c>
      <c r="G844" s="7" t="s">
        <v>177</v>
      </c>
      <c r="H844" s="7" t="s">
        <v>178</v>
      </c>
      <c r="I844" s="7" t="s">
        <v>1276</v>
      </c>
      <c r="J844" s="209">
        <v>84600</v>
      </c>
      <c r="K844" s="209">
        <v>9400</v>
      </c>
      <c r="L844" s="209">
        <v>0</v>
      </c>
      <c r="M844" s="209">
        <v>94000</v>
      </c>
      <c r="N844" s="7" t="s">
        <v>79</v>
      </c>
      <c r="O844" s="7" t="s">
        <v>124</v>
      </c>
    </row>
    <row r="845" spans="1:15" ht="15" customHeight="1" x14ac:dyDescent="0.25">
      <c r="A845" s="7" t="s">
        <v>2664</v>
      </c>
      <c r="B845" s="7" t="s">
        <v>90</v>
      </c>
      <c r="C845" s="7" t="s">
        <v>2663</v>
      </c>
      <c r="D845" s="7" t="s">
        <v>137</v>
      </c>
      <c r="E845" s="7" t="s">
        <v>447</v>
      </c>
      <c r="F845" s="7" t="s">
        <v>2662</v>
      </c>
      <c r="G845" s="7" t="s">
        <v>2345</v>
      </c>
      <c r="H845" s="7" t="s">
        <v>75</v>
      </c>
      <c r="I845" s="7" t="s">
        <v>1276</v>
      </c>
      <c r="J845" s="209">
        <v>763200</v>
      </c>
      <c r="K845" s="209">
        <v>84800</v>
      </c>
      <c r="L845" s="209">
        <v>0</v>
      </c>
      <c r="M845" s="209">
        <v>848000</v>
      </c>
      <c r="N845" s="7" t="s">
        <v>79</v>
      </c>
      <c r="O845" s="7" t="s">
        <v>124</v>
      </c>
    </row>
    <row r="846" spans="1:15" ht="15" customHeight="1" x14ac:dyDescent="0.25">
      <c r="A846" s="7" t="s">
        <v>2664</v>
      </c>
      <c r="B846" s="7" t="s">
        <v>90</v>
      </c>
      <c r="C846" s="7" t="s">
        <v>2663</v>
      </c>
      <c r="D846" s="7" t="s">
        <v>137</v>
      </c>
      <c r="E846" s="7" t="s">
        <v>447</v>
      </c>
      <c r="F846" s="7" t="s">
        <v>2662</v>
      </c>
      <c r="G846" s="8" t="s">
        <v>73</v>
      </c>
      <c r="H846" s="7" t="s">
        <v>245</v>
      </c>
      <c r="I846" s="7" t="s">
        <v>1276</v>
      </c>
      <c r="J846" s="209">
        <v>63000</v>
      </c>
      <c r="K846" s="209">
        <v>7000</v>
      </c>
      <c r="L846" s="209">
        <v>0</v>
      </c>
      <c r="M846" s="209">
        <v>70000</v>
      </c>
      <c r="N846" s="7" t="s">
        <v>79</v>
      </c>
      <c r="O846" s="7" t="s">
        <v>124</v>
      </c>
    </row>
    <row r="847" spans="1:15" ht="15" customHeight="1" x14ac:dyDescent="0.25">
      <c r="A847" s="7" t="s">
        <v>4368</v>
      </c>
      <c r="B847" s="7" t="s">
        <v>90</v>
      </c>
      <c r="C847" s="7" t="s">
        <v>2663</v>
      </c>
      <c r="D847" s="7" t="s">
        <v>137</v>
      </c>
      <c r="E847" s="7" t="s">
        <v>430</v>
      </c>
      <c r="F847" s="7" t="s">
        <v>4367</v>
      </c>
      <c r="G847" s="8" t="s">
        <v>73</v>
      </c>
      <c r="H847" s="7" t="s">
        <v>245</v>
      </c>
      <c r="I847" s="7" t="s">
        <v>1276</v>
      </c>
      <c r="J847" s="209">
        <v>270000</v>
      </c>
      <c r="K847" s="209">
        <v>30000</v>
      </c>
      <c r="L847" s="209">
        <v>0</v>
      </c>
      <c r="M847" s="209">
        <v>300000</v>
      </c>
      <c r="N847" s="7" t="s">
        <v>4624</v>
      </c>
      <c r="O847" s="7" t="s">
        <v>124</v>
      </c>
    </row>
    <row r="848" spans="1:15" ht="15" customHeight="1" x14ac:dyDescent="0.25">
      <c r="A848" s="223" t="s">
        <v>215</v>
      </c>
      <c r="B848" s="224" t="s">
        <v>90</v>
      </c>
      <c r="C848" s="224" t="s">
        <v>2663</v>
      </c>
      <c r="D848" s="225" t="s">
        <v>216</v>
      </c>
      <c r="E848" s="224" t="s">
        <v>217</v>
      </c>
      <c r="F848" s="224" t="s">
        <v>218</v>
      </c>
      <c r="G848" s="224" t="s">
        <v>73</v>
      </c>
      <c r="H848" s="224" t="s">
        <v>245</v>
      </c>
      <c r="I848" s="224" t="s">
        <v>224</v>
      </c>
      <c r="J848" s="226"/>
      <c r="K848" s="226"/>
      <c r="L848" s="226">
        <v>331494.25</v>
      </c>
      <c r="M848" s="226">
        <v>331494.25</v>
      </c>
      <c r="N848" s="224" t="s">
        <v>4624</v>
      </c>
      <c r="O848" s="224" t="s">
        <v>124</v>
      </c>
    </row>
    <row r="849" spans="1:15" ht="15" customHeight="1" x14ac:dyDescent="0.25">
      <c r="A849" s="223" t="s">
        <v>215</v>
      </c>
      <c r="B849" s="224" t="s">
        <v>90</v>
      </c>
      <c r="C849" s="224" t="s">
        <v>2663</v>
      </c>
      <c r="D849" s="225" t="s">
        <v>216</v>
      </c>
      <c r="E849" s="224" t="s">
        <v>217</v>
      </c>
      <c r="F849" s="224" t="s">
        <v>218</v>
      </c>
      <c r="G849" s="224" t="s">
        <v>2345</v>
      </c>
      <c r="H849" s="224" t="s">
        <v>219</v>
      </c>
      <c r="I849" s="224" t="s">
        <v>220</v>
      </c>
      <c r="J849" s="226"/>
      <c r="K849" s="226"/>
      <c r="L849" s="226">
        <v>83000</v>
      </c>
      <c r="M849" s="226">
        <v>83000</v>
      </c>
      <c r="N849" s="224" t="s">
        <v>4624</v>
      </c>
      <c r="O849" s="224" t="s">
        <v>124</v>
      </c>
    </row>
    <row r="850" spans="1:15" ht="15" customHeight="1" x14ac:dyDescent="0.25">
      <c r="A850" s="223" t="s">
        <v>215</v>
      </c>
      <c r="B850" s="224" t="s">
        <v>90</v>
      </c>
      <c r="C850" s="224" t="s">
        <v>2663</v>
      </c>
      <c r="D850" s="225" t="s">
        <v>216</v>
      </c>
      <c r="E850" s="224" t="s">
        <v>217</v>
      </c>
      <c r="F850" s="224" t="s">
        <v>218</v>
      </c>
      <c r="G850" s="224" t="s">
        <v>2345</v>
      </c>
      <c r="H850" s="224" t="s">
        <v>219</v>
      </c>
      <c r="I850" s="224" t="s">
        <v>220</v>
      </c>
      <c r="J850" s="226"/>
      <c r="K850" s="226"/>
      <c r="L850" s="226">
        <v>70000</v>
      </c>
      <c r="M850" s="226">
        <v>70000</v>
      </c>
      <c r="N850" s="224" t="s">
        <v>4624</v>
      </c>
      <c r="O850" s="224" t="s">
        <v>124</v>
      </c>
    </row>
    <row r="851" spans="1:15" ht="15" customHeight="1" x14ac:dyDescent="0.25">
      <c r="A851" s="223" t="s">
        <v>215</v>
      </c>
      <c r="B851" s="224" t="s">
        <v>90</v>
      </c>
      <c r="C851" s="224" t="s">
        <v>2663</v>
      </c>
      <c r="D851" s="225" t="s">
        <v>216</v>
      </c>
      <c r="E851" s="224" t="s">
        <v>217</v>
      </c>
      <c r="F851" s="224" t="s">
        <v>218</v>
      </c>
      <c r="G851" s="224" t="s">
        <v>2345</v>
      </c>
      <c r="H851" s="224" t="s">
        <v>219</v>
      </c>
      <c r="I851" s="224" t="s">
        <v>220</v>
      </c>
      <c r="J851" s="226"/>
      <c r="K851" s="226"/>
      <c r="L851" s="226">
        <v>50000</v>
      </c>
      <c r="M851" s="226">
        <v>50000</v>
      </c>
      <c r="N851" s="224" t="s">
        <v>4624</v>
      </c>
      <c r="O851" s="224" t="s">
        <v>124</v>
      </c>
    </row>
    <row r="852" spans="1:15" ht="15" customHeight="1" x14ac:dyDescent="0.25">
      <c r="A852" s="215" t="s">
        <v>215</v>
      </c>
      <c r="B852" s="61" t="s">
        <v>90</v>
      </c>
      <c r="C852" s="61" t="s">
        <v>2663</v>
      </c>
      <c r="D852" s="199" t="s">
        <v>4663</v>
      </c>
      <c r="E852" s="199" t="s">
        <v>1028</v>
      </c>
      <c r="F852" s="199" t="s">
        <v>218</v>
      </c>
      <c r="G852" s="7" t="s">
        <v>2345</v>
      </c>
      <c r="H852" s="199" t="s">
        <v>1235</v>
      </c>
      <c r="I852" s="199" t="s">
        <v>2284</v>
      </c>
      <c r="J852" s="235">
        <v>38768</v>
      </c>
      <c r="K852" s="211">
        <v>33967</v>
      </c>
      <c r="L852" s="211">
        <v>0</v>
      </c>
      <c r="M852" s="235">
        <v>72735</v>
      </c>
      <c r="N852" s="61" t="s">
        <v>4624</v>
      </c>
      <c r="O852" s="61" t="s">
        <v>125</v>
      </c>
    </row>
    <row r="853" spans="1:15" ht="15" customHeight="1" x14ac:dyDescent="0.25">
      <c r="A853" s="7" t="s">
        <v>848</v>
      </c>
      <c r="B853" s="7" t="s">
        <v>18</v>
      </c>
      <c r="C853" s="7" t="s">
        <v>2663</v>
      </c>
      <c r="D853" s="7" t="s">
        <v>137</v>
      </c>
      <c r="E853" s="7" t="s">
        <v>4459</v>
      </c>
      <c r="F853" s="7" t="s">
        <v>1117</v>
      </c>
      <c r="G853" s="8" t="s">
        <v>73</v>
      </c>
      <c r="H853" s="7" t="s">
        <v>245</v>
      </c>
      <c r="I853" s="7" t="s">
        <v>1277</v>
      </c>
      <c r="J853" s="209">
        <v>24800</v>
      </c>
      <c r="K853" s="209">
        <v>6200</v>
      </c>
      <c r="L853" s="209">
        <v>0</v>
      </c>
      <c r="M853" s="209">
        <v>31000</v>
      </c>
      <c r="N853" s="7" t="s">
        <v>4625</v>
      </c>
      <c r="O853" s="7" t="s">
        <v>125</v>
      </c>
    </row>
    <row r="854" spans="1:15" ht="15" customHeight="1" x14ac:dyDescent="0.25">
      <c r="A854" s="187" t="s">
        <v>848</v>
      </c>
      <c r="B854" s="61" t="s">
        <v>18</v>
      </c>
      <c r="C854" s="61" t="s">
        <v>2663</v>
      </c>
      <c r="D854" s="199" t="s">
        <v>971</v>
      </c>
      <c r="E854" s="199" t="s">
        <v>1067</v>
      </c>
      <c r="F854" s="199" t="s">
        <v>1117</v>
      </c>
      <c r="G854" s="224" t="s">
        <v>212</v>
      </c>
      <c r="H854" s="199" t="s">
        <v>1195</v>
      </c>
      <c r="I854" s="199" t="s">
        <v>1277</v>
      </c>
      <c r="J854" s="235">
        <v>18163</v>
      </c>
      <c r="K854" s="211">
        <v>4541</v>
      </c>
      <c r="L854" s="211">
        <v>0</v>
      </c>
      <c r="M854" s="235">
        <v>22704</v>
      </c>
      <c r="N854" s="61" t="s">
        <v>4625</v>
      </c>
      <c r="O854" s="61" t="s">
        <v>125</v>
      </c>
    </row>
    <row r="855" spans="1:15" ht="15" customHeight="1" x14ac:dyDescent="0.25">
      <c r="A855" s="187" t="s">
        <v>848</v>
      </c>
      <c r="B855" s="61" t="s">
        <v>18</v>
      </c>
      <c r="C855" s="61" t="s">
        <v>2663</v>
      </c>
      <c r="D855" s="199" t="s">
        <v>971</v>
      </c>
      <c r="E855" s="199" t="s">
        <v>1067</v>
      </c>
      <c r="F855" s="199" t="s">
        <v>1117</v>
      </c>
      <c r="G855" s="224" t="s">
        <v>212</v>
      </c>
      <c r="H855" s="199" t="s">
        <v>1195</v>
      </c>
      <c r="I855" s="199" t="s">
        <v>1277</v>
      </c>
      <c r="J855" s="235">
        <v>3624</v>
      </c>
      <c r="K855" s="211">
        <v>906</v>
      </c>
      <c r="L855" s="211">
        <v>0</v>
      </c>
      <c r="M855" s="235">
        <v>4530</v>
      </c>
      <c r="N855" s="61" t="s">
        <v>4625</v>
      </c>
      <c r="O855" s="61" t="s">
        <v>125</v>
      </c>
    </row>
    <row r="856" spans="1:15" ht="15" customHeight="1" x14ac:dyDescent="0.25">
      <c r="A856" s="7" t="s">
        <v>2840</v>
      </c>
      <c r="B856" s="7" t="s">
        <v>18</v>
      </c>
      <c r="C856" s="7" t="s">
        <v>2663</v>
      </c>
      <c r="D856" s="7" t="s">
        <v>209</v>
      </c>
      <c r="E856" s="7" t="s">
        <v>2839</v>
      </c>
      <c r="F856" s="7" t="s">
        <v>2838</v>
      </c>
      <c r="G856" s="7" t="s">
        <v>177</v>
      </c>
      <c r="H856" s="7" t="s">
        <v>178</v>
      </c>
      <c r="I856" s="7" t="s">
        <v>2581</v>
      </c>
      <c r="J856" s="209">
        <v>76800</v>
      </c>
      <c r="K856" s="209">
        <v>19200</v>
      </c>
      <c r="L856" s="209">
        <v>0</v>
      </c>
      <c r="M856" s="209">
        <v>96000</v>
      </c>
      <c r="N856" s="7" t="s">
        <v>4624</v>
      </c>
      <c r="O856" s="7" t="s">
        <v>124</v>
      </c>
    </row>
    <row r="857" spans="1:15" ht="15" customHeight="1" x14ac:dyDescent="0.25">
      <c r="A857" s="7" t="s">
        <v>2840</v>
      </c>
      <c r="B857" s="7" t="s">
        <v>18</v>
      </c>
      <c r="C857" s="7" t="s">
        <v>2663</v>
      </c>
      <c r="D857" s="7" t="s">
        <v>209</v>
      </c>
      <c r="E857" s="7" t="s">
        <v>2839</v>
      </c>
      <c r="F857" s="7" t="s">
        <v>2838</v>
      </c>
      <c r="G857" s="7" t="s">
        <v>2345</v>
      </c>
      <c r="H857" s="7" t="s">
        <v>75</v>
      </c>
      <c r="I857" s="7" t="s">
        <v>2581</v>
      </c>
      <c r="J857" s="209">
        <v>640000</v>
      </c>
      <c r="K857" s="209">
        <v>160000</v>
      </c>
      <c r="L857" s="209">
        <v>0</v>
      </c>
      <c r="M857" s="209">
        <v>800000</v>
      </c>
      <c r="N857" s="7" t="s">
        <v>4624</v>
      </c>
      <c r="O857" s="7" t="s">
        <v>124</v>
      </c>
    </row>
    <row r="858" spans="1:15" ht="15" customHeight="1" x14ac:dyDescent="0.25">
      <c r="A858" s="187" t="s">
        <v>743</v>
      </c>
      <c r="B858" s="61" t="s">
        <v>18</v>
      </c>
      <c r="C858" s="61" t="s">
        <v>2663</v>
      </c>
      <c r="D858" s="199" t="s">
        <v>925</v>
      </c>
      <c r="E858" s="199" t="s">
        <v>988</v>
      </c>
      <c r="F858" s="199" t="s">
        <v>1095</v>
      </c>
      <c r="G858" s="7" t="s">
        <v>2345</v>
      </c>
      <c r="H858" s="199" t="s">
        <v>1208</v>
      </c>
      <c r="I858" s="199" t="s">
        <v>1278</v>
      </c>
      <c r="J858" s="235">
        <v>5822.23</v>
      </c>
      <c r="K858" s="211">
        <v>0</v>
      </c>
      <c r="L858" s="211">
        <v>0</v>
      </c>
      <c r="M858" s="235">
        <v>5822</v>
      </c>
      <c r="N858" s="61" t="s">
        <v>4616</v>
      </c>
      <c r="O858" s="61" t="s">
        <v>126</v>
      </c>
    </row>
    <row r="859" spans="1:15" ht="15" customHeight="1" x14ac:dyDescent="0.25">
      <c r="A859" s="7" t="s">
        <v>3142</v>
      </c>
      <c r="B859" s="7" t="s">
        <v>18</v>
      </c>
      <c r="C859" s="7" t="s">
        <v>2663</v>
      </c>
      <c r="D859" s="7" t="s">
        <v>627</v>
      </c>
      <c r="E859" s="7" t="s">
        <v>3141</v>
      </c>
      <c r="F859" s="7" t="s">
        <v>3140</v>
      </c>
      <c r="G859" s="7" t="s">
        <v>177</v>
      </c>
      <c r="H859" s="7" t="s">
        <v>178</v>
      </c>
      <c r="I859" s="7" t="s">
        <v>1278</v>
      </c>
      <c r="J859" s="209">
        <v>28846</v>
      </c>
      <c r="K859" s="209">
        <v>0</v>
      </c>
      <c r="L859" s="209">
        <v>0</v>
      </c>
      <c r="M859" s="209">
        <v>28846</v>
      </c>
      <c r="N859" s="7" t="s">
        <v>4616</v>
      </c>
      <c r="O859" s="7" t="s">
        <v>124</v>
      </c>
    </row>
    <row r="860" spans="1:15" ht="15" customHeight="1" x14ac:dyDescent="0.25">
      <c r="A860" s="7" t="s">
        <v>3142</v>
      </c>
      <c r="B860" s="7" t="s">
        <v>18</v>
      </c>
      <c r="C860" s="7" t="s">
        <v>2663</v>
      </c>
      <c r="D860" s="7" t="s">
        <v>627</v>
      </c>
      <c r="E860" s="7" t="s">
        <v>3141</v>
      </c>
      <c r="F860" s="7" t="s">
        <v>3140</v>
      </c>
      <c r="G860" s="7" t="s">
        <v>2345</v>
      </c>
      <c r="H860" s="7" t="s">
        <v>3118</v>
      </c>
      <c r="I860" s="7" t="s">
        <v>1278</v>
      </c>
      <c r="J860" s="209">
        <v>192308</v>
      </c>
      <c r="K860" s="209">
        <v>0</v>
      </c>
      <c r="L860" s="209">
        <v>0</v>
      </c>
      <c r="M860" s="209">
        <v>192308</v>
      </c>
      <c r="N860" s="7" t="s">
        <v>4616</v>
      </c>
      <c r="O860" s="7" t="s">
        <v>124</v>
      </c>
    </row>
    <row r="861" spans="1:15" ht="15" customHeight="1" x14ac:dyDescent="0.25">
      <c r="A861" s="187" t="s">
        <v>765</v>
      </c>
      <c r="B861" s="61" t="s">
        <v>18</v>
      </c>
      <c r="C861" s="61" t="s">
        <v>2663</v>
      </c>
      <c r="D861" s="199" t="s">
        <v>282</v>
      </c>
      <c r="E861" s="199" t="s">
        <v>1005</v>
      </c>
      <c r="F861" s="199" t="s">
        <v>1113</v>
      </c>
      <c r="G861" s="7" t="s">
        <v>2345</v>
      </c>
      <c r="H861" s="7" t="s">
        <v>74</v>
      </c>
      <c r="I861" s="199" t="s">
        <v>2581</v>
      </c>
      <c r="J861" s="235">
        <v>18040.22</v>
      </c>
      <c r="K861" s="211">
        <v>4509.7799999999988</v>
      </c>
      <c r="L861" s="211">
        <v>0</v>
      </c>
      <c r="M861" s="235">
        <v>22550</v>
      </c>
      <c r="N861" s="61" t="s">
        <v>225</v>
      </c>
      <c r="O861" s="61" t="s">
        <v>125</v>
      </c>
    </row>
    <row r="862" spans="1:15" ht="15" customHeight="1" x14ac:dyDescent="0.25">
      <c r="A862" s="7" t="s">
        <v>2896</v>
      </c>
      <c r="B862" s="7" t="s">
        <v>90</v>
      </c>
      <c r="C862" s="7" t="s">
        <v>2663</v>
      </c>
      <c r="D862" s="7" t="s">
        <v>622</v>
      </c>
      <c r="E862" s="7" t="s">
        <v>2895</v>
      </c>
      <c r="F862" s="7" t="s">
        <v>2894</v>
      </c>
      <c r="G862" s="7" t="s">
        <v>2345</v>
      </c>
      <c r="H862" s="7" t="s">
        <v>2893</v>
      </c>
      <c r="I862" s="7" t="s">
        <v>1276</v>
      </c>
      <c r="J862" s="209">
        <v>1841383</v>
      </c>
      <c r="K862" s="209">
        <v>204929.6</v>
      </c>
      <c r="L862" s="209">
        <v>2983.3999999999069</v>
      </c>
      <c r="M862" s="209">
        <v>2049296</v>
      </c>
      <c r="N862" s="7" t="s">
        <v>624</v>
      </c>
      <c r="O862" s="7" t="s">
        <v>124</v>
      </c>
    </row>
    <row r="863" spans="1:15" ht="15" customHeight="1" x14ac:dyDescent="0.25">
      <c r="A863" s="7" t="s">
        <v>2896</v>
      </c>
      <c r="B863" s="7" t="s">
        <v>90</v>
      </c>
      <c r="C863" s="7" t="s">
        <v>2663</v>
      </c>
      <c r="D863" s="7" t="s">
        <v>622</v>
      </c>
      <c r="E863" s="7" t="s">
        <v>2895</v>
      </c>
      <c r="F863" s="7" t="s">
        <v>2894</v>
      </c>
      <c r="G863" s="7" t="s">
        <v>177</v>
      </c>
      <c r="H863" s="7" t="s">
        <v>178</v>
      </c>
      <c r="I863" s="7" t="s">
        <v>1276</v>
      </c>
      <c r="J863" s="209">
        <v>184138</v>
      </c>
      <c r="K863" s="209">
        <v>20459.800000000003</v>
      </c>
      <c r="L863" s="209">
        <v>0</v>
      </c>
      <c r="M863" s="209">
        <v>204598</v>
      </c>
      <c r="N863" s="7" t="s">
        <v>624</v>
      </c>
      <c r="O863" s="7" t="s">
        <v>124</v>
      </c>
    </row>
    <row r="864" spans="1:15" ht="15" customHeight="1" x14ac:dyDescent="0.25">
      <c r="A864" s="223" t="s">
        <v>290</v>
      </c>
      <c r="B864" s="224" t="s">
        <v>90</v>
      </c>
      <c r="C864" s="224" t="s">
        <v>2663</v>
      </c>
      <c r="D864" s="225" t="s">
        <v>291</v>
      </c>
      <c r="E864" s="224" t="s">
        <v>292</v>
      </c>
      <c r="F864" s="224" t="s">
        <v>293</v>
      </c>
      <c r="G864" s="224" t="s">
        <v>2345</v>
      </c>
      <c r="H864" s="224" t="s">
        <v>219</v>
      </c>
      <c r="I864" s="224" t="s">
        <v>220</v>
      </c>
      <c r="J864" s="226"/>
      <c r="K864" s="226"/>
      <c r="L864" s="226">
        <v>89803</v>
      </c>
      <c r="M864" s="226">
        <v>89803</v>
      </c>
      <c r="N864" s="224" t="s">
        <v>225</v>
      </c>
      <c r="O864" s="224" t="s">
        <v>125</v>
      </c>
    </row>
    <row r="865" spans="1:15" ht="15" customHeight="1" x14ac:dyDescent="0.25">
      <c r="A865" s="7" t="s">
        <v>2863</v>
      </c>
      <c r="B865" s="7" t="s">
        <v>90</v>
      </c>
      <c r="C865" s="7" t="s">
        <v>2663</v>
      </c>
      <c r="D865" s="7" t="s">
        <v>627</v>
      </c>
      <c r="E865" s="7" t="s">
        <v>2733</v>
      </c>
      <c r="F865" s="7" t="s">
        <v>2862</v>
      </c>
      <c r="G865" s="7" t="s">
        <v>177</v>
      </c>
      <c r="H865" s="7" t="s">
        <v>178</v>
      </c>
      <c r="I865" s="7" t="s">
        <v>1276</v>
      </c>
      <c r="J865" s="209">
        <v>238953</v>
      </c>
      <c r="K865" s="209">
        <v>36190</v>
      </c>
      <c r="L865" s="209">
        <v>86757</v>
      </c>
      <c r="M865" s="209">
        <v>361900</v>
      </c>
      <c r="N865" s="7" t="s">
        <v>624</v>
      </c>
      <c r="O865" s="7" t="s">
        <v>124</v>
      </c>
    </row>
    <row r="866" spans="1:15" ht="15" customHeight="1" x14ac:dyDescent="0.25">
      <c r="A866" s="7" t="s">
        <v>2863</v>
      </c>
      <c r="B866" s="7" t="s">
        <v>90</v>
      </c>
      <c r="C866" s="7" t="s">
        <v>2663</v>
      </c>
      <c r="D866" s="7" t="s">
        <v>627</v>
      </c>
      <c r="E866" s="7" t="s">
        <v>2733</v>
      </c>
      <c r="F866" s="7" t="s">
        <v>2862</v>
      </c>
      <c r="G866" s="7" t="s">
        <v>2345</v>
      </c>
      <c r="H866" s="7" t="s">
        <v>2861</v>
      </c>
      <c r="I866" s="7" t="s">
        <v>1276</v>
      </c>
      <c r="J866" s="209">
        <v>2389531</v>
      </c>
      <c r="K866" s="209">
        <v>325710</v>
      </c>
      <c r="L866" s="209">
        <v>541859</v>
      </c>
      <c r="M866" s="209">
        <v>3257100</v>
      </c>
      <c r="N866" s="7" t="s">
        <v>624</v>
      </c>
      <c r="O866" s="7" t="s">
        <v>124</v>
      </c>
    </row>
    <row r="867" spans="1:15" ht="15" customHeight="1" x14ac:dyDescent="0.25">
      <c r="A867" s="187" t="s">
        <v>795</v>
      </c>
      <c r="B867" s="61" t="s">
        <v>90</v>
      </c>
      <c r="C867" s="61" t="s">
        <v>2663</v>
      </c>
      <c r="D867" s="199" t="s">
        <v>4662</v>
      </c>
      <c r="E867" s="199" t="s">
        <v>1028</v>
      </c>
      <c r="F867" s="199" t="s">
        <v>41</v>
      </c>
      <c r="G867" s="7" t="s">
        <v>2345</v>
      </c>
      <c r="H867" s="199" t="s">
        <v>1232</v>
      </c>
      <c r="I867" s="199" t="s">
        <v>1275</v>
      </c>
      <c r="J867" s="235">
        <v>51450.02</v>
      </c>
      <c r="K867" s="211">
        <v>12862.980000000003</v>
      </c>
      <c r="L867" s="211">
        <v>0</v>
      </c>
      <c r="M867" s="235">
        <v>64313</v>
      </c>
      <c r="N867" s="61" t="s">
        <v>4621</v>
      </c>
      <c r="O867" s="61" t="s">
        <v>124</v>
      </c>
    </row>
    <row r="868" spans="1:15" ht="15" customHeight="1" x14ac:dyDescent="0.25">
      <c r="A868" s="7" t="s">
        <v>3693</v>
      </c>
      <c r="B868" s="7" t="s">
        <v>18</v>
      </c>
      <c r="C868" s="7" t="s">
        <v>2663</v>
      </c>
      <c r="D868" s="7" t="s">
        <v>2734</v>
      </c>
      <c r="E868" s="7" t="s">
        <v>3692</v>
      </c>
      <c r="F868" s="7" t="s">
        <v>3691</v>
      </c>
      <c r="G868" s="7" t="s">
        <v>2345</v>
      </c>
      <c r="H868" s="7" t="s">
        <v>1901</v>
      </c>
      <c r="I868" s="7" t="s">
        <v>2653</v>
      </c>
      <c r="J868" s="209">
        <v>91200</v>
      </c>
      <c r="K868" s="209">
        <v>22800</v>
      </c>
      <c r="L868" s="209">
        <v>0</v>
      </c>
      <c r="M868" s="209">
        <v>114000</v>
      </c>
      <c r="N868" s="7" t="s">
        <v>225</v>
      </c>
      <c r="O868" s="7" t="s">
        <v>125</v>
      </c>
    </row>
    <row r="869" spans="1:15" ht="15" customHeight="1" x14ac:dyDescent="0.25">
      <c r="A869" s="7" t="s">
        <v>3693</v>
      </c>
      <c r="B869" s="7" t="s">
        <v>18</v>
      </c>
      <c r="C869" s="7" t="s">
        <v>2663</v>
      </c>
      <c r="D869" s="7" t="s">
        <v>2734</v>
      </c>
      <c r="E869" s="7" t="s">
        <v>3692</v>
      </c>
      <c r="F869" s="7" t="s">
        <v>3691</v>
      </c>
      <c r="G869" s="7" t="s">
        <v>177</v>
      </c>
      <c r="H869" s="7" t="s">
        <v>178</v>
      </c>
      <c r="I869" s="7" t="s">
        <v>2653</v>
      </c>
      <c r="J869" s="209">
        <v>6862</v>
      </c>
      <c r="K869" s="209">
        <v>1715.5</v>
      </c>
      <c r="L869" s="209">
        <v>0</v>
      </c>
      <c r="M869" s="209">
        <v>8582</v>
      </c>
      <c r="N869" s="7" t="s">
        <v>225</v>
      </c>
      <c r="O869" s="7" t="s">
        <v>125</v>
      </c>
    </row>
    <row r="870" spans="1:15" ht="15" customHeight="1" x14ac:dyDescent="0.25">
      <c r="A870" s="7" t="s">
        <v>2856</v>
      </c>
      <c r="B870" s="7" t="s">
        <v>18</v>
      </c>
      <c r="C870" s="7" t="s">
        <v>2663</v>
      </c>
      <c r="D870" s="7" t="s">
        <v>137</v>
      </c>
      <c r="E870" s="7" t="s">
        <v>2855</v>
      </c>
      <c r="F870" s="7" t="s">
        <v>2854</v>
      </c>
      <c r="G870" s="224" t="s">
        <v>212</v>
      </c>
      <c r="H870" s="7" t="s">
        <v>213</v>
      </c>
      <c r="I870" s="7" t="s">
        <v>2715</v>
      </c>
      <c r="J870" s="209">
        <v>168400</v>
      </c>
      <c r="K870" s="209">
        <v>42100</v>
      </c>
      <c r="L870" s="209">
        <v>0</v>
      </c>
      <c r="M870" s="209">
        <v>210500</v>
      </c>
      <c r="N870" s="7" t="s">
        <v>4616</v>
      </c>
      <c r="O870" s="7" t="s">
        <v>126</v>
      </c>
    </row>
    <row r="871" spans="1:15" ht="15" customHeight="1" x14ac:dyDescent="0.25">
      <c r="A871" s="7" t="s">
        <v>3577</v>
      </c>
      <c r="B871" s="7" t="s">
        <v>90</v>
      </c>
      <c r="C871" s="7" t="s">
        <v>2663</v>
      </c>
      <c r="D871" s="7" t="s">
        <v>2724</v>
      </c>
      <c r="E871" s="7" t="s">
        <v>233</v>
      </c>
      <c r="F871" s="7" t="s">
        <v>3576</v>
      </c>
      <c r="G871" s="7" t="s">
        <v>2345</v>
      </c>
      <c r="H871" s="7" t="s">
        <v>4743</v>
      </c>
      <c r="I871" s="7" t="s">
        <v>1275</v>
      </c>
      <c r="J871" s="209">
        <v>45000000</v>
      </c>
      <c r="K871" s="209">
        <v>5000000</v>
      </c>
      <c r="L871" s="209">
        <v>0</v>
      </c>
      <c r="M871" s="209">
        <v>50000000</v>
      </c>
      <c r="N871" s="7" t="s">
        <v>225</v>
      </c>
      <c r="O871" s="7" t="s">
        <v>125</v>
      </c>
    </row>
    <row r="872" spans="1:15" ht="15" customHeight="1" x14ac:dyDescent="0.25">
      <c r="A872" s="7" t="s">
        <v>2735</v>
      </c>
      <c r="B872" s="7" t="s">
        <v>18</v>
      </c>
      <c r="C872" s="7" t="s">
        <v>2663</v>
      </c>
      <c r="D872" s="7" t="s">
        <v>2734</v>
      </c>
      <c r="E872" s="7" t="s">
        <v>2733</v>
      </c>
      <c r="F872" s="7" t="s">
        <v>2732</v>
      </c>
      <c r="G872" s="7" t="s">
        <v>177</v>
      </c>
      <c r="H872" s="7" t="s">
        <v>178</v>
      </c>
      <c r="I872" s="7" t="s">
        <v>2581</v>
      </c>
      <c r="J872" s="209">
        <v>86800</v>
      </c>
      <c r="K872" s="209">
        <v>24880</v>
      </c>
      <c r="L872" s="209">
        <v>12720</v>
      </c>
      <c r="M872" s="209">
        <v>124400</v>
      </c>
      <c r="N872" s="7" t="s">
        <v>79</v>
      </c>
      <c r="O872" s="7" t="s">
        <v>124</v>
      </c>
    </row>
    <row r="873" spans="1:15" ht="15" customHeight="1" x14ac:dyDescent="0.25">
      <c r="A873" s="7" t="s">
        <v>2735</v>
      </c>
      <c r="B873" s="7" t="s">
        <v>18</v>
      </c>
      <c r="C873" s="7" t="s">
        <v>2663</v>
      </c>
      <c r="D873" s="7" t="s">
        <v>2734</v>
      </c>
      <c r="E873" s="7" t="s">
        <v>2733</v>
      </c>
      <c r="F873" s="7" t="s">
        <v>2732</v>
      </c>
      <c r="G873" s="7" t="s">
        <v>2345</v>
      </c>
      <c r="H873" s="7" t="s">
        <v>4754</v>
      </c>
      <c r="I873" s="7" t="s">
        <v>2581</v>
      </c>
      <c r="J873" s="209">
        <v>1208960</v>
      </c>
      <c r="K873" s="209">
        <v>325307.2</v>
      </c>
      <c r="L873" s="209">
        <v>92268.800000000047</v>
      </c>
      <c r="M873" s="209">
        <v>1626536</v>
      </c>
      <c r="N873" s="7" t="s">
        <v>79</v>
      </c>
      <c r="O873" s="7" t="s">
        <v>124</v>
      </c>
    </row>
    <row r="874" spans="1:15" ht="15" customHeight="1" x14ac:dyDescent="0.25">
      <c r="A874" s="7" t="s">
        <v>3700</v>
      </c>
      <c r="B874" s="7" t="s">
        <v>18</v>
      </c>
      <c r="C874" s="7" t="s">
        <v>2663</v>
      </c>
      <c r="D874" s="7" t="s">
        <v>3699</v>
      </c>
      <c r="E874" s="7" t="s">
        <v>41</v>
      </c>
      <c r="F874" s="7" t="s">
        <v>3698</v>
      </c>
      <c r="G874" s="7" t="s">
        <v>177</v>
      </c>
      <c r="H874" s="7" t="s">
        <v>178</v>
      </c>
      <c r="I874" s="7" t="s">
        <v>1278</v>
      </c>
      <c r="J874" s="209">
        <v>11200</v>
      </c>
      <c r="K874" s="209">
        <v>2800</v>
      </c>
      <c r="L874" s="209">
        <v>0</v>
      </c>
      <c r="M874" s="209">
        <v>14000</v>
      </c>
      <c r="N874" s="7" t="s">
        <v>4616</v>
      </c>
      <c r="O874" s="7" t="s">
        <v>124</v>
      </c>
    </row>
    <row r="875" spans="1:15" ht="15" customHeight="1" x14ac:dyDescent="0.25">
      <c r="A875" s="7" t="s">
        <v>3700</v>
      </c>
      <c r="B875" s="7" t="s">
        <v>18</v>
      </c>
      <c r="C875" s="7" t="s">
        <v>2663</v>
      </c>
      <c r="D875" s="7" t="s">
        <v>3699</v>
      </c>
      <c r="E875" s="7" t="s">
        <v>41</v>
      </c>
      <c r="F875" s="7" t="s">
        <v>3698</v>
      </c>
      <c r="G875" s="7" t="s">
        <v>2345</v>
      </c>
      <c r="H875" s="7" t="s">
        <v>3118</v>
      </c>
      <c r="I875" s="7" t="s">
        <v>1278</v>
      </c>
      <c r="J875" s="209">
        <v>130800</v>
      </c>
      <c r="K875" s="209">
        <v>32700</v>
      </c>
      <c r="L875" s="209">
        <v>0</v>
      </c>
      <c r="M875" s="209">
        <v>163500</v>
      </c>
      <c r="N875" s="7" t="s">
        <v>4616</v>
      </c>
      <c r="O875" s="7" t="s">
        <v>124</v>
      </c>
    </row>
    <row r="876" spans="1:15" ht="15" customHeight="1" x14ac:dyDescent="0.25">
      <c r="A876" s="7" t="s">
        <v>3564</v>
      </c>
      <c r="B876" s="7" t="s">
        <v>18</v>
      </c>
      <c r="C876" s="7" t="s">
        <v>2663</v>
      </c>
      <c r="D876" s="7" t="s">
        <v>3563</v>
      </c>
      <c r="E876" s="7" t="s">
        <v>981</v>
      </c>
      <c r="F876" s="7" t="s">
        <v>3562</v>
      </c>
      <c r="G876" s="7" t="s">
        <v>2345</v>
      </c>
      <c r="H876" s="7" t="s">
        <v>4740</v>
      </c>
      <c r="I876" s="7" t="s">
        <v>2581</v>
      </c>
      <c r="J876" s="209">
        <v>2000000</v>
      </c>
      <c r="K876" s="209">
        <v>500000</v>
      </c>
      <c r="L876" s="209">
        <v>1470000</v>
      </c>
      <c r="M876" s="209">
        <v>3970000</v>
      </c>
      <c r="N876" s="7" t="s">
        <v>79</v>
      </c>
      <c r="O876" s="7" t="s">
        <v>124</v>
      </c>
    </row>
    <row r="877" spans="1:15" ht="15" customHeight="1" x14ac:dyDescent="0.25">
      <c r="A877" s="223" t="s">
        <v>621</v>
      </c>
      <c r="B877" s="224" t="s">
        <v>90</v>
      </c>
      <c r="C877" s="224" t="s">
        <v>2663</v>
      </c>
      <c r="D877" s="225" t="s">
        <v>622</v>
      </c>
      <c r="E877" s="224" t="s">
        <v>447</v>
      </c>
      <c r="F877" s="224" t="s">
        <v>623</v>
      </c>
      <c r="G877" s="224" t="s">
        <v>73</v>
      </c>
      <c r="H877" s="224" t="s">
        <v>245</v>
      </c>
      <c r="I877" s="224" t="s">
        <v>224</v>
      </c>
      <c r="J877" s="226"/>
      <c r="K877" s="226"/>
      <c r="L877" s="226">
        <v>350177.06</v>
      </c>
      <c r="M877" s="226">
        <v>350177.06</v>
      </c>
      <c r="N877" s="224" t="s">
        <v>624</v>
      </c>
      <c r="O877" s="224" t="s">
        <v>124</v>
      </c>
    </row>
    <row r="878" spans="1:15" ht="15" customHeight="1" x14ac:dyDescent="0.25">
      <c r="A878" s="223" t="s">
        <v>621</v>
      </c>
      <c r="B878" s="224" t="s">
        <v>90</v>
      </c>
      <c r="C878" s="224" t="s">
        <v>2663</v>
      </c>
      <c r="D878" s="225" t="s">
        <v>622</v>
      </c>
      <c r="E878" s="224" t="s">
        <v>625</v>
      </c>
      <c r="F878" s="224" t="s">
        <v>626</v>
      </c>
      <c r="G878" s="224" t="s">
        <v>73</v>
      </c>
      <c r="H878" s="224" t="s">
        <v>245</v>
      </c>
      <c r="I878" s="224" t="s">
        <v>224</v>
      </c>
      <c r="J878" s="226"/>
      <c r="K878" s="226"/>
      <c r="L878" s="226">
        <v>116129.39</v>
      </c>
      <c r="M878" s="226">
        <v>116129.39</v>
      </c>
      <c r="N878" s="224" t="s">
        <v>624</v>
      </c>
      <c r="O878" s="224" t="s">
        <v>124</v>
      </c>
    </row>
    <row r="879" spans="1:15" ht="15" customHeight="1" x14ac:dyDescent="0.25">
      <c r="A879" s="223" t="s">
        <v>621</v>
      </c>
      <c r="B879" s="224" t="s">
        <v>90</v>
      </c>
      <c r="C879" s="224" t="s">
        <v>2663</v>
      </c>
      <c r="D879" s="225" t="s">
        <v>627</v>
      </c>
      <c r="E879" s="224" t="s">
        <v>628</v>
      </c>
      <c r="F879" s="224" t="s">
        <v>629</v>
      </c>
      <c r="G879" s="224" t="s">
        <v>73</v>
      </c>
      <c r="H879" s="224" t="s">
        <v>245</v>
      </c>
      <c r="I879" s="224" t="s">
        <v>224</v>
      </c>
      <c r="J879" s="226"/>
      <c r="K879" s="226"/>
      <c r="L879" s="226">
        <v>114998</v>
      </c>
      <c r="M879" s="226">
        <v>114998</v>
      </c>
      <c r="N879" s="224" t="s">
        <v>624</v>
      </c>
      <c r="O879" s="224" t="s">
        <v>124</v>
      </c>
    </row>
    <row r="880" spans="1:15" ht="15" customHeight="1" x14ac:dyDescent="0.25">
      <c r="A880" s="223" t="s">
        <v>621</v>
      </c>
      <c r="B880" s="224" t="s">
        <v>90</v>
      </c>
      <c r="C880" s="224" t="s">
        <v>2663</v>
      </c>
      <c r="D880" s="225" t="s">
        <v>627</v>
      </c>
      <c r="E880" s="224" t="s">
        <v>628</v>
      </c>
      <c r="F880" s="224" t="s">
        <v>630</v>
      </c>
      <c r="G880" s="224" t="s">
        <v>73</v>
      </c>
      <c r="H880" s="224" t="s">
        <v>245</v>
      </c>
      <c r="I880" s="224" t="s">
        <v>224</v>
      </c>
      <c r="J880" s="226"/>
      <c r="K880" s="226"/>
      <c r="L880" s="226">
        <v>122983.06</v>
      </c>
      <c r="M880" s="226">
        <v>122983.06</v>
      </c>
      <c r="N880" s="224" t="s">
        <v>624</v>
      </c>
      <c r="O880" s="224" t="s">
        <v>124</v>
      </c>
    </row>
    <row r="881" spans="1:15" ht="15" customHeight="1" x14ac:dyDescent="0.25">
      <c r="A881" s="7" t="s">
        <v>4171</v>
      </c>
      <c r="B881" s="7" t="s">
        <v>18</v>
      </c>
      <c r="C881" s="7" t="s">
        <v>2663</v>
      </c>
      <c r="D881" s="7" t="s">
        <v>4170</v>
      </c>
      <c r="E881" s="7" t="s">
        <v>41</v>
      </c>
      <c r="F881" s="7" t="s">
        <v>4169</v>
      </c>
      <c r="G881" s="7" t="s">
        <v>177</v>
      </c>
      <c r="H881" s="7" t="s">
        <v>178</v>
      </c>
      <c r="I881" s="7" t="s">
        <v>1278</v>
      </c>
      <c r="J881" s="209">
        <v>12816</v>
      </c>
      <c r="K881" s="209">
        <v>3204</v>
      </c>
      <c r="L881" s="209">
        <v>0</v>
      </c>
      <c r="M881" s="209">
        <v>16020</v>
      </c>
      <c r="N881" s="7" t="s">
        <v>4623</v>
      </c>
      <c r="O881" s="7" t="s">
        <v>124</v>
      </c>
    </row>
    <row r="882" spans="1:15" ht="15" customHeight="1" x14ac:dyDescent="0.25">
      <c r="A882" s="7" t="s">
        <v>4171</v>
      </c>
      <c r="B882" s="7" t="s">
        <v>18</v>
      </c>
      <c r="C882" s="7" t="s">
        <v>2663</v>
      </c>
      <c r="D882" s="7" t="s">
        <v>4170</v>
      </c>
      <c r="E882" s="7" t="s">
        <v>41</v>
      </c>
      <c r="F882" s="7" t="s">
        <v>4169</v>
      </c>
      <c r="G882" s="7" t="s">
        <v>2345</v>
      </c>
      <c r="H882" s="7" t="s">
        <v>4721</v>
      </c>
      <c r="I882" s="7" t="s">
        <v>1278</v>
      </c>
      <c r="J882" s="209">
        <v>128160</v>
      </c>
      <c r="K882" s="209">
        <v>32040</v>
      </c>
      <c r="L882" s="209">
        <v>0</v>
      </c>
      <c r="M882" s="209">
        <v>160200</v>
      </c>
      <c r="N882" s="7" t="s">
        <v>4623</v>
      </c>
      <c r="O882" s="7" t="s">
        <v>124</v>
      </c>
    </row>
    <row r="883" spans="1:15" ht="15" customHeight="1" x14ac:dyDescent="0.25">
      <c r="A883" s="7" t="s">
        <v>3128</v>
      </c>
      <c r="B883" s="7" t="s">
        <v>18</v>
      </c>
      <c r="C883" s="7" t="s">
        <v>2663</v>
      </c>
      <c r="D883" s="7" t="s">
        <v>209</v>
      </c>
      <c r="E883" s="7" t="s">
        <v>41</v>
      </c>
      <c r="F883" s="7" t="s">
        <v>209</v>
      </c>
      <c r="G883" s="7" t="s">
        <v>177</v>
      </c>
      <c r="H883" s="7" t="s">
        <v>178</v>
      </c>
      <c r="I883" s="7" t="s">
        <v>1278</v>
      </c>
      <c r="J883" s="209">
        <v>14545</v>
      </c>
      <c r="K883" s="209">
        <v>3636.25</v>
      </c>
      <c r="L883" s="209">
        <v>0</v>
      </c>
      <c r="M883" s="209">
        <v>18182</v>
      </c>
      <c r="N883" s="7" t="s">
        <v>4616</v>
      </c>
      <c r="O883" s="7" t="s">
        <v>124</v>
      </c>
    </row>
    <row r="884" spans="1:15" ht="15" customHeight="1" x14ac:dyDescent="0.25">
      <c r="A884" s="7" t="s">
        <v>3128</v>
      </c>
      <c r="B884" s="7" t="s">
        <v>18</v>
      </c>
      <c r="C884" s="7" t="s">
        <v>2663</v>
      </c>
      <c r="D884" s="7" t="s">
        <v>209</v>
      </c>
      <c r="E884" s="7" t="s">
        <v>41</v>
      </c>
      <c r="F884" s="7" t="s">
        <v>209</v>
      </c>
      <c r="G884" s="7" t="s">
        <v>2345</v>
      </c>
      <c r="H884" s="199" t="s">
        <v>1208</v>
      </c>
      <c r="I884" s="7" t="s">
        <v>1278</v>
      </c>
      <c r="J884" s="209">
        <v>145455</v>
      </c>
      <c r="K884" s="209">
        <v>36363.75</v>
      </c>
      <c r="L884" s="209">
        <v>0</v>
      </c>
      <c r="M884" s="209">
        <v>181818</v>
      </c>
      <c r="N884" s="7" t="s">
        <v>4616</v>
      </c>
      <c r="O884" s="7" t="s">
        <v>124</v>
      </c>
    </row>
    <row r="885" spans="1:15" ht="15" customHeight="1" x14ac:dyDescent="0.25">
      <c r="A885" s="7" t="s">
        <v>4602</v>
      </c>
      <c r="B885" s="7" t="s">
        <v>18</v>
      </c>
      <c r="C885" s="7" t="s">
        <v>2663</v>
      </c>
      <c r="D885" s="7" t="s">
        <v>4601</v>
      </c>
      <c r="E885" s="7" t="s">
        <v>4600</v>
      </c>
      <c r="F885" s="7" t="s">
        <v>4599</v>
      </c>
      <c r="G885" s="7" t="s">
        <v>117</v>
      </c>
      <c r="H885" s="7" t="s">
        <v>119</v>
      </c>
      <c r="I885" s="7" t="s">
        <v>1277</v>
      </c>
      <c r="J885" s="209">
        <v>94917</v>
      </c>
      <c r="K885" s="209">
        <v>23729.200000000001</v>
      </c>
      <c r="L885" s="209">
        <v>0</v>
      </c>
      <c r="M885" s="209">
        <v>118646</v>
      </c>
      <c r="N885" s="7" t="s">
        <v>4625</v>
      </c>
      <c r="O885" s="7" t="s">
        <v>124</v>
      </c>
    </row>
    <row r="886" spans="1:15" ht="15" customHeight="1" x14ac:dyDescent="0.25">
      <c r="A886" s="7" t="s">
        <v>4337</v>
      </c>
      <c r="B886" s="7" t="s">
        <v>18</v>
      </c>
      <c r="C886" s="7" t="s">
        <v>2663</v>
      </c>
      <c r="D886" s="7" t="s">
        <v>925</v>
      </c>
      <c r="E886" s="7" t="s">
        <v>4336</v>
      </c>
      <c r="F886" s="7" t="s">
        <v>4335</v>
      </c>
      <c r="G886" s="224" t="s">
        <v>212</v>
      </c>
      <c r="H886" s="7" t="s">
        <v>213</v>
      </c>
      <c r="I886" s="7" t="s">
        <v>2581</v>
      </c>
      <c r="J886" s="209">
        <v>77734</v>
      </c>
      <c r="K886" s="209">
        <v>19433.600000000002</v>
      </c>
      <c r="L886" s="209">
        <v>0</v>
      </c>
      <c r="M886" s="209">
        <v>97168</v>
      </c>
      <c r="N886" s="7" t="s">
        <v>4624</v>
      </c>
      <c r="O886" s="7" t="s">
        <v>124</v>
      </c>
    </row>
    <row r="887" spans="1:15" ht="15" customHeight="1" x14ac:dyDescent="0.25">
      <c r="A887" s="7" t="s">
        <v>3512</v>
      </c>
      <c r="B887" s="7" t="s">
        <v>18</v>
      </c>
      <c r="C887" s="7" t="s">
        <v>2663</v>
      </c>
      <c r="D887" s="7" t="s">
        <v>925</v>
      </c>
      <c r="E887" s="7" t="s">
        <v>3511</v>
      </c>
      <c r="F887" s="7" t="s">
        <v>3510</v>
      </c>
      <c r="G887" s="7" t="s">
        <v>117</v>
      </c>
      <c r="H887" s="7" t="s">
        <v>119</v>
      </c>
      <c r="I887" s="7" t="s">
        <v>1277</v>
      </c>
      <c r="J887" s="209">
        <v>148726</v>
      </c>
      <c r="K887" s="209">
        <v>37181.4</v>
      </c>
      <c r="L887" s="209">
        <v>0</v>
      </c>
      <c r="M887" s="209">
        <v>185907</v>
      </c>
      <c r="N887" s="7" t="s">
        <v>4625</v>
      </c>
      <c r="O887" s="7" t="s">
        <v>125</v>
      </c>
    </row>
    <row r="888" spans="1:15" ht="15" customHeight="1" x14ac:dyDescent="0.25">
      <c r="A888" s="7" t="s">
        <v>3917</v>
      </c>
      <c r="B888" s="7" t="s">
        <v>18</v>
      </c>
      <c r="C888" s="7" t="s">
        <v>2663</v>
      </c>
      <c r="D888" s="7" t="s">
        <v>607</v>
      </c>
      <c r="E888" s="7" t="s">
        <v>3916</v>
      </c>
      <c r="F888" s="7" t="s">
        <v>3915</v>
      </c>
      <c r="G888" s="224" t="s">
        <v>212</v>
      </c>
      <c r="H888" s="7" t="s">
        <v>213</v>
      </c>
      <c r="I888" s="7" t="s">
        <v>2653</v>
      </c>
      <c r="J888" s="209">
        <v>20788</v>
      </c>
      <c r="K888" s="209">
        <v>5197</v>
      </c>
      <c r="L888" s="209">
        <v>0</v>
      </c>
      <c r="M888" s="209">
        <v>25985</v>
      </c>
      <c r="N888" s="7" t="s">
        <v>4616</v>
      </c>
      <c r="O888" s="7" t="s">
        <v>126</v>
      </c>
    </row>
    <row r="889" spans="1:15" ht="15" customHeight="1" x14ac:dyDescent="0.25">
      <c r="A889" s="223" t="s">
        <v>208</v>
      </c>
      <c r="B889" s="224" t="s">
        <v>18</v>
      </c>
      <c r="C889" s="224" t="s">
        <v>2663</v>
      </c>
      <c r="D889" s="225" t="s">
        <v>209</v>
      </c>
      <c r="E889" s="224" t="s">
        <v>210</v>
      </c>
      <c r="F889" s="224" t="s">
        <v>631</v>
      </c>
      <c r="G889" s="224" t="s">
        <v>177</v>
      </c>
      <c r="H889" s="224" t="s">
        <v>178</v>
      </c>
      <c r="I889" s="224" t="s">
        <v>632</v>
      </c>
      <c r="J889" s="226"/>
      <c r="K889" s="226"/>
      <c r="L889" s="226">
        <v>75000</v>
      </c>
      <c r="M889" s="226">
        <v>75000</v>
      </c>
      <c r="N889" s="224" t="s">
        <v>82</v>
      </c>
      <c r="O889" s="224" t="s">
        <v>214</v>
      </c>
    </row>
    <row r="890" spans="1:15" ht="15" customHeight="1" x14ac:dyDescent="0.25">
      <c r="A890" s="223" t="s">
        <v>208</v>
      </c>
      <c r="B890" s="224" t="s">
        <v>18</v>
      </c>
      <c r="C890" s="224" t="s">
        <v>2663</v>
      </c>
      <c r="D890" s="225" t="s">
        <v>209</v>
      </c>
      <c r="E890" s="224" t="s">
        <v>210</v>
      </c>
      <c r="F890" s="224" t="s">
        <v>211</v>
      </c>
      <c r="G890" s="224" t="s">
        <v>212</v>
      </c>
      <c r="H890" s="224" t="s">
        <v>213</v>
      </c>
      <c r="I890" s="224" t="s">
        <v>632</v>
      </c>
      <c r="J890" s="226"/>
      <c r="K890" s="226"/>
      <c r="L890" s="226">
        <v>67000</v>
      </c>
      <c r="M890" s="226">
        <v>67000</v>
      </c>
      <c r="N890" s="224" t="s">
        <v>82</v>
      </c>
      <c r="O890" s="224" t="s">
        <v>214</v>
      </c>
    </row>
    <row r="891" spans="1:15" ht="15" customHeight="1" x14ac:dyDescent="0.25">
      <c r="A891" s="7" t="s">
        <v>3753</v>
      </c>
      <c r="B891" s="7" t="s">
        <v>18</v>
      </c>
      <c r="C891" s="7" t="s">
        <v>2663</v>
      </c>
      <c r="D891" s="7" t="s">
        <v>3484</v>
      </c>
      <c r="E891" s="7" t="s">
        <v>3752</v>
      </c>
      <c r="F891" s="7" t="s">
        <v>3751</v>
      </c>
      <c r="G891" s="7" t="s">
        <v>117</v>
      </c>
      <c r="H891" s="7" t="s">
        <v>119</v>
      </c>
      <c r="I891" s="7" t="s">
        <v>2581</v>
      </c>
      <c r="J891" s="209">
        <v>130000</v>
      </c>
      <c r="K891" s="209">
        <v>32500</v>
      </c>
      <c r="L891" s="209">
        <v>4517</v>
      </c>
      <c r="M891" s="209">
        <v>167017</v>
      </c>
      <c r="N891" s="7" t="s">
        <v>4625</v>
      </c>
      <c r="O891" s="7" t="s">
        <v>125</v>
      </c>
    </row>
    <row r="892" spans="1:15" ht="15" customHeight="1" x14ac:dyDescent="0.25">
      <c r="A892" s="7" t="s">
        <v>3569</v>
      </c>
      <c r="B892" s="7" t="s">
        <v>90</v>
      </c>
      <c r="C892" s="7" t="s">
        <v>2663</v>
      </c>
      <c r="D892" s="7" t="s">
        <v>3484</v>
      </c>
      <c r="E892" s="7" t="s">
        <v>483</v>
      </c>
      <c r="F892" s="7" t="s">
        <v>3510</v>
      </c>
      <c r="G892" s="7" t="s">
        <v>2345</v>
      </c>
      <c r="H892" s="7" t="s">
        <v>651</v>
      </c>
      <c r="I892" s="7" t="s">
        <v>1275</v>
      </c>
      <c r="J892" s="209">
        <v>360000</v>
      </c>
      <c r="K892" s="209">
        <v>90000</v>
      </c>
      <c r="L892" s="209">
        <v>0</v>
      </c>
      <c r="M892" s="209">
        <v>450000</v>
      </c>
      <c r="N892" s="7" t="s">
        <v>4625</v>
      </c>
      <c r="O892" s="7" t="s">
        <v>125</v>
      </c>
    </row>
    <row r="893" spans="1:15" ht="15" customHeight="1" x14ac:dyDescent="0.25">
      <c r="A893" s="7" t="s">
        <v>3569</v>
      </c>
      <c r="B893" s="7" t="s">
        <v>90</v>
      </c>
      <c r="C893" s="7" t="s">
        <v>2663</v>
      </c>
      <c r="D893" s="7" t="s">
        <v>3484</v>
      </c>
      <c r="E893" s="7" t="s">
        <v>483</v>
      </c>
      <c r="F893" s="7" t="s">
        <v>3510</v>
      </c>
      <c r="G893" s="7" t="s">
        <v>177</v>
      </c>
      <c r="H893" s="7" t="s">
        <v>178</v>
      </c>
      <c r="I893" s="7" t="s">
        <v>1275</v>
      </c>
      <c r="J893" s="209">
        <v>40000</v>
      </c>
      <c r="K893" s="209">
        <v>10000</v>
      </c>
      <c r="L893" s="209">
        <v>0</v>
      </c>
      <c r="M893" s="209">
        <v>50000</v>
      </c>
      <c r="N893" s="7" t="s">
        <v>4625</v>
      </c>
      <c r="O893" s="7" t="s">
        <v>125</v>
      </c>
    </row>
    <row r="894" spans="1:15" ht="15" customHeight="1" x14ac:dyDescent="0.25">
      <c r="A894" s="7" t="s">
        <v>3318</v>
      </c>
      <c r="B894" s="7" t="s">
        <v>18</v>
      </c>
      <c r="C894" s="7" t="s">
        <v>2663</v>
      </c>
      <c r="D894" s="7" t="s">
        <v>236</v>
      </c>
      <c r="E894" s="7" t="s">
        <v>3317</v>
      </c>
      <c r="F894" s="7" t="s">
        <v>3317</v>
      </c>
      <c r="G894" s="7" t="s">
        <v>2345</v>
      </c>
      <c r="H894" s="10" t="s">
        <v>4728</v>
      </c>
      <c r="I894" s="7" t="s">
        <v>3316</v>
      </c>
      <c r="J894" s="209">
        <v>200000</v>
      </c>
      <c r="K894" s="209">
        <v>50000</v>
      </c>
      <c r="L894" s="209">
        <v>0</v>
      </c>
      <c r="M894" s="209">
        <v>250000</v>
      </c>
      <c r="N894" s="7" t="s">
        <v>4616</v>
      </c>
      <c r="O894" s="7" t="s">
        <v>124</v>
      </c>
    </row>
    <row r="895" spans="1:15" ht="15" customHeight="1" x14ac:dyDescent="0.25">
      <c r="A895" s="223" t="s">
        <v>633</v>
      </c>
      <c r="B895" s="224" t="s">
        <v>90</v>
      </c>
      <c r="C895" s="224" t="s">
        <v>2663</v>
      </c>
      <c r="D895" s="225" t="s">
        <v>634</v>
      </c>
      <c r="E895" s="224" t="s">
        <v>430</v>
      </c>
      <c r="F895" s="224" t="s">
        <v>637</v>
      </c>
      <c r="G895" s="224" t="s">
        <v>177</v>
      </c>
      <c r="H895" s="224" t="s">
        <v>178</v>
      </c>
      <c r="I895" s="224" t="s">
        <v>224</v>
      </c>
      <c r="J895" s="226"/>
      <c r="K895" s="226"/>
      <c r="L895" s="226">
        <v>658565</v>
      </c>
      <c r="M895" s="226">
        <v>658565</v>
      </c>
      <c r="N895" s="224" t="s">
        <v>82</v>
      </c>
      <c r="O895" s="224" t="s">
        <v>214</v>
      </c>
    </row>
    <row r="896" spans="1:15" ht="15" customHeight="1" x14ac:dyDescent="0.25">
      <c r="A896" s="223" t="s">
        <v>633</v>
      </c>
      <c r="B896" s="224" t="s">
        <v>90</v>
      </c>
      <c r="C896" s="224" t="s">
        <v>2663</v>
      </c>
      <c r="D896" s="225" t="s">
        <v>634</v>
      </c>
      <c r="E896" s="224" t="s">
        <v>635</v>
      </c>
      <c r="F896" s="224" t="s">
        <v>636</v>
      </c>
      <c r="G896" s="224" t="s">
        <v>73</v>
      </c>
      <c r="H896" s="224" t="s">
        <v>245</v>
      </c>
      <c r="I896" s="224" t="s">
        <v>224</v>
      </c>
      <c r="J896" s="226"/>
      <c r="K896" s="226"/>
      <c r="L896" s="226">
        <v>156825.82</v>
      </c>
      <c r="M896" s="226">
        <v>156825.82</v>
      </c>
      <c r="N896" s="224" t="s">
        <v>82</v>
      </c>
      <c r="O896" s="224" t="s">
        <v>214</v>
      </c>
    </row>
    <row r="897" spans="1:15" ht="15" customHeight="1" x14ac:dyDescent="0.25">
      <c r="A897" s="223" t="s">
        <v>638</v>
      </c>
      <c r="B897" s="224" t="s">
        <v>90</v>
      </c>
      <c r="C897" s="224" t="s">
        <v>2663</v>
      </c>
      <c r="D897" s="225" t="s">
        <v>639</v>
      </c>
      <c r="E897" s="224" t="s">
        <v>640</v>
      </c>
      <c r="F897" s="224" t="s">
        <v>641</v>
      </c>
      <c r="G897" s="224" t="s">
        <v>177</v>
      </c>
      <c r="H897" s="224" t="s">
        <v>178</v>
      </c>
      <c r="I897" s="224" t="s">
        <v>224</v>
      </c>
      <c r="J897" s="226"/>
      <c r="K897" s="226"/>
      <c r="L897" s="226">
        <v>2437659</v>
      </c>
      <c r="M897" s="226">
        <v>2437659</v>
      </c>
      <c r="N897" s="224" t="s">
        <v>82</v>
      </c>
      <c r="O897" s="224" t="s">
        <v>214</v>
      </c>
    </row>
    <row r="898" spans="1:15" ht="15" customHeight="1" x14ac:dyDescent="0.25">
      <c r="A898" s="223" t="s">
        <v>638</v>
      </c>
      <c r="B898" s="224" t="s">
        <v>90</v>
      </c>
      <c r="C898" s="224" t="s">
        <v>2663</v>
      </c>
      <c r="D898" s="225" t="s">
        <v>639</v>
      </c>
      <c r="E898" s="224" t="s">
        <v>640</v>
      </c>
      <c r="F898" s="224" t="s">
        <v>642</v>
      </c>
      <c r="G898" s="224" t="s">
        <v>73</v>
      </c>
      <c r="H898" s="224" t="s">
        <v>245</v>
      </c>
      <c r="I898" s="224" t="s">
        <v>224</v>
      </c>
      <c r="J898" s="226"/>
      <c r="K898" s="226"/>
      <c r="L898" s="226">
        <v>412423.06</v>
      </c>
      <c r="M898" s="226">
        <v>412423.06</v>
      </c>
      <c r="N898" s="224" t="s">
        <v>82</v>
      </c>
      <c r="O898" s="224" t="s">
        <v>214</v>
      </c>
    </row>
    <row r="899" spans="1:15" ht="15" customHeight="1" x14ac:dyDescent="0.25">
      <c r="A899" s="187" t="s">
        <v>788</v>
      </c>
      <c r="B899" s="61" t="s">
        <v>90</v>
      </c>
      <c r="C899" s="61" t="s">
        <v>2663</v>
      </c>
      <c r="D899" s="199" t="s">
        <v>945</v>
      </c>
      <c r="E899" s="199" t="s">
        <v>1023</v>
      </c>
      <c r="F899" s="199" t="s">
        <v>1132</v>
      </c>
      <c r="G899" s="7" t="s">
        <v>2345</v>
      </c>
      <c r="H899" s="199" t="s">
        <v>1196</v>
      </c>
      <c r="I899" s="61" t="s">
        <v>4756</v>
      </c>
      <c r="J899" s="235">
        <v>3073864.19</v>
      </c>
      <c r="K899" s="211">
        <v>341540.81000000006</v>
      </c>
      <c r="L899" s="211">
        <v>0</v>
      </c>
      <c r="M899" s="235">
        <v>3415405</v>
      </c>
      <c r="N899" s="61" t="s">
        <v>4624</v>
      </c>
      <c r="O899" s="61" t="s">
        <v>124</v>
      </c>
    </row>
    <row r="900" spans="1:15" ht="15" customHeight="1" x14ac:dyDescent="0.25">
      <c r="A900" s="187" t="s">
        <v>809</v>
      </c>
      <c r="B900" s="61" t="s">
        <v>90</v>
      </c>
      <c r="C900" s="61" t="s">
        <v>2663</v>
      </c>
      <c r="D900" s="199" t="s">
        <v>955</v>
      </c>
      <c r="E900" s="199" t="s">
        <v>1040</v>
      </c>
      <c r="F900" s="199" t="s">
        <v>1150</v>
      </c>
      <c r="G900" s="7" t="s">
        <v>2345</v>
      </c>
      <c r="H900" s="199" t="s">
        <v>1235</v>
      </c>
      <c r="I900" s="199" t="s">
        <v>4629</v>
      </c>
      <c r="J900" s="235">
        <v>3816.48</v>
      </c>
      <c r="K900" s="211">
        <v>954.52</v>
      </c>
      <c r="L900" s="211">
        <v>0</v>
      </c>
      <c r="M900" s="235">
        <v>4771</v>
      </c>
      <c r="N900" s="61" t="s">
        <v>624</v>
      </c>
      <c r="O900" s="61" t="s">
        <v>124</v>
      </c>
    </row>
    <row r="901" spans="1:15" ht="15" customHeight="1" x14ac:dyDescent="0.25">
      <c r="A901" s="224" t="s">
        <v>4702</v>
      </c>
      <c r="B901" s="224" t="s">
        <v>18</v>
      </c>
      <c r="C901" s="224" t="s">
        <v>2663</v>
      </c>
      <c r="D901" s="224" t="s">
        <v>137</v>
      </c>
      <c r="E901" s="224" t="s">
        <v>140</v>
      </c>
      <c r="F901" s="224" t="s">
        <v>144</v>
      </c>
      <c r="G901" s="224" t="s">
        <v>2345</v>
      </c>
      <c r="H901" s="224" t="s">
        <v>74</v>
      </c>
      <c r="I901" s="227" t="s">
        <v>83</v>
      </c>
      <c r="J901" s="224"/>
      <c r="K901" s="224"/>
      <c r="L901" s="226">
        <v>2679842.0499999998</v>
      </c>
      <c r="M901" s="226">
        <v>2679842.0499999998</v>
      </c>
      <c r="N901" s="224" t="s">
        <v>225</v>
      </c>
      <c r="O901" s="224" t="s">
        <v>125</v>
      </c>
    </row>
    <row r="902" spans="1:15" ht="15" customHeight="1" x14ac:dyDescent="0.25">
      <c r="A902" s="223" t="s">
        <v>4702</v>
      </c>
      <c r="B902" s="224" t="s">
        <v>90</v>
      </c>
      <c r="C902" s="224" t="s">
        <v>2663</v>
      </c>
      <c r="D902" s="225" t="s">
        <v>221</v>
      </c>
      <c r="E902" s="224" t="s">
        <v>222</v>
      </c>
      <c r="F902" s="224" t="s">
        <v>223</v>
      </c>
      <c r="G902" s="224" t="s">
        <v>117</v>
      </c>
      <c r="H902" s="224" t="s">
        <v>119</v>
      </c>
      <c r="I902" s="224" t="s">
        <v>224</v>
      </c>
      <c r="J902" s="226"/>
      <c r="K902" s="226"/>
      <c r="L902" s="226">
        <v>1617232</v>
      </c>
      <c r="M902" s="226">
        <v>1617232</v>
      </c>
      <c r="N902" s="224" t="s">
        <v>225</v>
      </c>
      <c r="O902" s="224" t="s">
        <v>125</v>
      </c>
    </row>
    <row r="903" spans="1:15" ht="15" customHeight="1" x14ac:dyDescent="0.25">
      <c r="A903" s="224" t="s">
        <v>4702</v>
      </c>
      <c r="B903" s="224" t="s">
        <v>18</v>
      </c>
      <c r="C903" s="224" t="s">
        <v>2663</v>
      </c>
      <c r="D903" s="224" t="s">
        <v>137</v>
      </c>
      <c r="E903" s="224" t="s">
        <v>142</v>
      </c>
      <c r="F903" s="224" t="s">
        <v>146</v>
      </c>
      <c r="G903" s="224" t="s">
        <v>2345</v>
      </c>
      <c r="H903" s="224" t="s">
        <v>74</v>
      </c>
      <c r="I903" s="227" t="s">
        <v>83</v>
      </c>
      <c r="J903" s="224"/>
      <c r="K903" s="224"/>
      <c r="L903" s="226">
        <v>1295463</v>
      </c>
      <c r="M903" s="226">
        <v>1295463</v>
      </c>
      <c r="N903" s="224" t="s">
        <v>225</v>
      </c>
      <c r="O903" s="224" t="s">
        <v>125</v>
      </c>
    </row>
    <row r="904" spans="1:15" ht="15" customHeight="1" x14ac:dyDescent="0.25">
      <c r="A904" s="224" t="s">
        <v>4702</v>
      </c>
      <c r="B904" s="224" t="s">
        <v>18</v>
      </c>
      <c r="C904" s="224" t="s">
        <v>2663</v>
      </c>
      <c r="D904" s="224" t="s">
        <v>137</v>
      </c>
      <c r="E904" s="224" t="s">
        <v>139</v>
      </c>
      <c r="F904" s="224" t="s">
        <v>143</v>
      </c>
      <c r="G904" s="224" t="s">
        <v>2345</v>
      </c>
      <c r="H904" s="224" t="s">
        <v>147</v>
      </c>
      <c r="I904" s="227" t="s">
        <v>83</v>
      </c>
      <c r="J904" s="224"/>
      <c r="K904" s="224"/>
      <c r="L904" s="226">
        <v>940974.6</v>
      </c>
      <c r="M904" s="226">
        <v>940974.6</v>
      </c>
      <c r="N904" s="224" t="s">
        <v>4625</v>
      </c>
      <c r="O904" s="224" t="s">
        <v>125</v>
      </c>
    </row>
    <row r="905" spans="1:15" ht="15" customHeight="1" x14ac:dyDescent="0.25">
      <c r="A905" s="223" t="s">
        <v>4702</v>
      </c>
      <c r="B905" s="224" t="s">
        <v>90</v>
      </c>
      <c r="C905" s="224" t="s">
        <v>2663</v>
      </c>
      <c r="D905" s="225" t="s">
        <v>232</v>
      </c>
      <c r="E905" s="224" t="s">
        <v>233</v>
      </c>
      <c r="F905" s="224" t="s">
        <v>234</v>
      </c>
      <c r="G905" s="224" t="s">
        <v>117</v>
      </c>
      <c r="H905" s="224" t="s">
        <v>119</v>
      </c>
      <c r="I905" s="224" t="s">
        <v>224</v>
      </c>
      <c r="J905" s="226"/>
      <c r="K905" s="226"/>
      <c r="L905" s="226">
        <v>180000</v>
      </c>
      <c r="M905" s="226">
        <v>180000</v>
      </c>
      <c r="N905" s="224" t="s">
        <v>225</v>
      </c>
      <c r="O905" s="224" t="s">
        <v>125</v>
      </c>
    </row>
    <row r="906" spans="1:15" ht="15" customHeight="1" x14ac:dyDescent="0.25">
      <c r="A906" s="224" t="s">
        <v>4702</v>
      </c>
      <c r="B906" s="224" t="s">
        <v>18</v>
      </c>
      <c r="C906" s="224" t="s">
        <v>2663</v>
      </c>
      <c r="D906" s="224" t="s">
        <v>137</v>
      </c>
      <c r="E906" s="224" t="s">
        <v>141</v>
      </c>
      <c r="F906" s="224" t="s">
        <v>145</v>
      </c>
      <c r="G906" s="224" t="s">
        <v>2345</v>
      </c>
      <c r="H906" s="224" t="s">
        <v>148</v>
      </c>
      <c r="I906" s="227" t="s">
        <v>83</v>
      </c>
      <c r="J906" s="224"/>
      <c r="K906" s="224"/>
      <c r="L906" s="226">
        <v>596756.6</v>
      </c>
      <c r="M906" s="226">
        <v>596756.6</v>
      </c>
      <c r="N906" s="224" t="s">
        <v>4625</v>
      </c>
      <c r="O906" s="224" t="s">
        <v>124</v>
      </c>
    </row>
    <row r="907" spans="1:15" ht="15" customHeight="1" x14ac:dyDescent="0.25">
      <c r="A907" s="187" t="s">
        <v>773</v>
      </c>
      <c r="B907" s="61" t="s">
        <v>90</v>
      </c>
      <c r="C907" s="61" t="s">
        <v>648</v>
      </c>
      <c r="D907" s="199" t="s">
        <v>137</v>
      </c>
      <c r="E907" s="199" t="s">
        <v>233</v>
      </c>
      <c r="F907" s="199" t="s">
        <v>1119</v>
      </c>
      <c r="G907" s="7" t="s">
        <v>2345</v>
      </c>
      <c r="H907" s="8" t="s">
        <v>219</v>
      </c>
      <c r="I907" s="199" t="s">
        <v>2284</v>
      </c>
      <c r="J907" s="235">
        <v>91802.49</v>
      </c>
      <c r="K907" s="211">
        <v>22950.509999999995</v>
      </c>
      <c r="L907" s="211">
        <v>0</v>
      </c>
      <c r="M907" s="235">
        <v>114753</v>
      </c>
      <c r="N907" s="61" t="s">
        <v>4683</v>
      </c>
      <c r="O907" s="61" t="s">
        <v>124</v>
      </c>
    </row>
    <row r="908" spans="1:15" ht="15" customHeight="1" x14ac:dyDescent="0.25">
      <c r="A908" s="223" t="s">
        <v>643</v>
      </c>
      <c r="B908" s="224" t="s">
        <v>90</v>
      </c>
      <c r="C908" s="224" t="s">
        <v>150</v>
      </c>
      <c r="D908" s="225" t="s">
        <v>163</v>
      </c>
      <c r="E908" s="224" t="s">
        <v>479</v>
      </c>
      <c r="F908" s="224" t="s">
        <v>644</v>
      </c>
      <c r="G908" s="224" t="s">
        <v>73</v>
      </c>
      <c r="H908" s="224" t="s">
        <v>245</v>
      </c>
      <c r="I908" s="224" t="s">
        <v>224</v>
      </c>
      <c r="J908" s="226"/>
      <c r="K908" s="226"/>
      <c r="L908" s="226">
        <v>8495</v>
      </c>
      <c r="M908" s="226">
        <v>8495</v>
      </c>
      <c r="N908" s="224" t="s">
        <v>4625</v>
      </c>
      <c r="O908" s="224" t="s">
        <v>124</v>
      </c>
    </row>
    <row r="909" spans="1:15" ht="15" customHeight="1" x14ac:dyDescent="0.25">
      <c r="A909" s="187" t="s">
        <v>810</v>
      </c>
      <c r="B909" s="61" t="s">
        <v>90</v>
      </c>
      <c r="C909" s="61" t="s">
        <v>4614</v>
      </c>
      <c r="D909" s="199" t="s">
        <v>239</v>
      </c>
      <c r="E909" s="199" t="s">
        <v>994</v>
      </c>
      <c r="F909" s="199" t="s">
        <v>1151</v>
      </c>
      <c r="G909" s="7" t="s">
        <v>2345</v>
      </c>
      <c r="H909" s="8" t="s">
        <v>219</v>
      </c>
      <c r="I909" s="7" t="s">
        <v>3040</v>
      </c>
      <c r="J909" s="235">
        <v>56351.28</v>
      </c>
      <c r="K909" s="211">
        <v>0</v>
      </c>
      <c r="L909" s="211">
        <v>0</v>
      </c>
      <c r="M909" s="235">
        <v>56351</v>
      </c>
      <c r="N909" s="61" t="s">
        <v>624</v>
      </c>
      <c r="O909" s="61" t="s">
        <v>125</v>
      </c>
    </row>
    <row r="910" spans="1:15" ht="15" customHeight="1" x14ac:dyDescent="0.25">
      <c r="A910" s="187" t="s">
        <v>789</v>
      </c>
      <c r="B910" s="61" t="s">
        <v>90</v>
      </c>
      <c r="C910" s="61" t="s">
        <v>4614</v>
      </c>
      <c r="D910" s="199" t="s">
        <v>347</v>
      </c>
      <c r="E910" s="199" t="s">
        <v>1039</v>
      </c>
      <c r="F910" s="199" t="s">
        <v>1148</v>
      </c>
      <c r="G910" s="7" t="s">
        <v>2345</v>
      </c>
      <c r="H910" s="199" t="s">
        <v>1214</v>
      </c>
      <c r="I910" s="7" t="s">
        <v>2619</v>
      </c>
      <c r="J910" s="235">
        <v>100707.98</v>
      </c>
      <c r="K910" s="211">
        <v>0</v>
      </c>
      <c r="L910" s="211">
        <v>0</v>
      </c>
      <c r="M910" s="235">
        <v>100707.98</v>
      </c>
      <c r="N910" s="61" t="s">
        <v>624</v>
      </c>
      <c r="O910" s="61" t="s">
        <v>124</v>
      </c>
    </row>
    <row r="911" spans="1:15" ht="15" customHeight="1" x14ac:dyDescent="0.25">
      <c r="A911" s="187" t="s">
        <v>789</v>
      </c>
      <c r="B911" s="61" t="s">
        <v>90</v>
      </c>
      <c r="C911" s="61" t="s">
        <v>2815</v>
      </c>
      <c r="D911" s="199" t="s">
        <v>4684</v>
      </c>
      <c r="E911" s="199" t="s">
        <v>998</v>
      </c>
      <c r="F911" s="199" t="s">
        <v>1133</v>
      </c>
      <c r="G911" s="7" t="s">
        <v>2345</v>
      </c>
      <c r="H911" s="8" t="s">
        <v>219</v>
      </c>
      <c r="I911" s="7" t="s">
        <v>2619</v>
      </c>
      <c r="J911" s="235">
        <v>133737.96</v>
      </c>
      <c r="K911" s="211">
        <v>0</v>
      </c>
      <c r="L911" s="211">
        <v>0</v>
      </c>
      <c r="M911" s="235">
        <v>133737.96</v>
      </c>
      <c r="N911" s="61" t="s">
        <v>624</v>
      </c>
      <c r="O911" s="61" t="s">
        <v>124</v>
      </c>
    </row>
    <row r="912" spans="1:15" ht="15" customHeight="1" x14ac:dyDescent="0.25">
      <c r="A912" s="187" t="s">
        <v>789</v>
      </c>
      <c r="B912" s="61" t="s">
        <v>90</v>
      </c>
      <c r="C912" s="61" t="s">
        <v>2815</v>
      </c>
      <c r="D912" s="199" t="s">
        <v>4684</v>
      </c>
      <c r="E912" s="199" t="s">
        <v>998</v>
      </c>
      <c r="F912" s="199" t="s">
        <v>1133</v>
      </c>
      <c r="G912" s="7" t="s">
        <v>2345</v>
      </c>
      <c r="H912" s="8" t="s">
        <v>219</v>
      </c>
      <c r="I912" s="199" t="s">
        <v>3040</v>
      </c>
      <c r="J912" s="235">
        <v>147126.44</v>
      </c>
      <c r="K912" s="211">
        <v>0</v>
      </c>
      <c r="L912" s="211">
        <v>0</v>
      </c>
      <c r="M912" s="235">
        <v>147126.44</v>
      </c>
      <c r="N912" s="61" t="s">
        <v>624</v>
      </c>
      <c r="O912" s="61" t="s">
        <v>124</v>
      </c>
    </row>
    <row r="913" spans="1:15" ht="15" customHeight="1" x14ac:dyDescent="0.25">
      <c r="A913" s="187" t="s">
        <v>801</v>
      </c>
      <c r="B913" s="61" t="s">
        <v>90</v>
      </c>
      <c r="C913" s="61" t="s">
        <v>648</v>
      </c>
      <c r="D913" s="199" t="s">
        <v>948</v>
      </c>
      <c r="E913" s="199" t="s">
        <v>41</v>
      </c>
      <c r="F913" s="199" t="s">
        <v>41</v>
      </c>
      <c r="G913" s="7" t="s">
        <v>2345</v>
      </c>
      <c r="H913" s="199" t="s">
        <v>4748</v>
      </c>
      <c r="I913" s="199" t="s">
        <v>1276</v>
      </c>
      <c r="J913" s="235">
        <v>1227.04</v>
      </c>
      <c r="K913" s="211">
        <v>135.96000000000004</v>
      </c>
      <c r="L913" s="211">
        <v>0</v>
      </c>
      <c r="M913" s="235">
        <v>1363</v>
      </c>
      <c r="N913" s="61" t="s">
        <v>624</v>
      </c>
      <c r="O913" s="61" t="s">
        <v>124</v>
      </c>
    </row>
    <row r="914" spans="1:15" ht="15" customHeight="1" x14ac:dyDescent="0.25">
      <c r="A914" s="187" t="s">
        <v>752</v>
      </c>
      <c r="B914" s="61" t="s">
        <v>90</v>
      </c>
      <c r="C914" s="61" t="s">
        <v>2815</v>
      </c>
      <c r="D914" s="199" t="s">
        <v>264</v>
      </c>
      <c r="E914" s="199" t="s">
        <v>989</v>
      </c>
      <c r="F914" s="199" t="s">
        <v>1104</v>
      </c>
      <c r="G914" s="7" t="s">
        <v>2345</v>
      </c>
      <c r="H914" s="199" t="s">
        <v>1214</v>
      </c>
      <c r="I914" s="7" t="s">
        <v>2619</v>
      </c>
      <c r="J914" s="235">
        <v>6136.57</v>
      </c>
      <c r="K914" s="211">
        <v>0</v>
      </c>
      <c r="L914" s="211">
        <v>0</v>
      </c>
      <c r="M914" s="235">
        <v>6136.57</v>
      </c>
      <c r="N914" s="61" t="s">
        <v>624</v>
      </c>
      <c r="O914" s="61" t="s">
        <v>125</v>
      </c>
    </row>
    <row r="915" spans="1:15" ht="15" customHeight="1" x14ac:dyDescent="0.25">
      <c r="A915" s="187" t="s">
        <v>752</v>
      </c>
      <c r="B915" s="61" t="s">
        <v>90</v>
      </c>
      <c r="C915" s="61" t="s">
        <v>2815</v>
      </c>
      <c r="D915" s="199" t="s">
        <v>264</v>
      </c>
      <c r="E915" s="199" t="s">
        <v>998</v>
      </c>
      <c r="F915" s="199" t="s">
        <v>1106</v>
      </c>
      <c r="G915" s="7" t="s">
        <v>2345</v>
      </c>
      <c r="H915" s="199" t="s">
        <v>1215</v>
      </c>
      <c r="I915" s="199" t="s">
        <v>1276</v>
      </c>
      <c r="J915" s="235">
        <v>5861.78</v>
      </c>
      <c r="K915" s="211">
        <v>0</v>
      </c>
      <c r="L915" s="211">
        <v>0</v>
      </c>
      <c r="M915" s="235">
        <v>5861.78</v>
      </c>
      <c r="N915" s="224" t="s">
        <v>387</v>
      </c>
      <c r="O915" s="61" t="s">
        <v>125</v>
      </c>
    </row>
    <row r="916" spans="1:15" ht="15" customHeight="1" x14ac:dyDescent="0.25">
      <c r="A916" s="187" t="s">
        <v>752</v>
      </c>
      <c r="B916" s="61" t="s">
        <v>90</v>
      </c>
      <c r="C916" s="61" t="s">
        <v>2815</v>
      </c>
      <c r="D916" s="199" t="s">
        <v>264</v>
      </c>
      <c r="E916" s="199" t="s">
        <v>989</v>
      </c>
      <c r="F916" s="199" t="s">
        <v>1104</v>
      </c>
      <c r="G916" s="7" t="s">
        <v>2345</v>
      </c>
      <c r="H916" s="199" t="s">
        <v>1214</v>
      </c>
      <c r="I916" s="199" t="s">
        <v>1276</v>
      </c>
      <c r="J916" s="235">
        <v>1100</v>
      </c>
      <c r="K916" s="211">
        <v>0</v>
      </c>
      <c r="L916" s="211">
        <v>0</v>
      </c>
      <c r="M916" s="235">
        <v>1100</v>
      </c>
      <c r="N916" s="224" t="s">
        <v>387</v>
      </c>
      <c r="O916" s="61" t="s">
        <v>125</v>
      </c>
    </row>
    <row r="917" spans="1:15" ht="15" customHeight="1" x14ac:dyDescent="0.25">
      <c r="A917" s="7" t="s">
        <v>4330</v>
      </c>
      <c r="B917" s="7" t="s">
        <v>90</v>
      </c>
      <c r="C917" s="7" t="s">
        <v>648</v>
      </c>
      <c r="D917" s="7" t="s">
        <v>2724</v>
      </c>
      <c r="E917" s="7" t="s">
        <v>41</v>
      </c>
      <c r="F917" s="7" t="s">
        <v>4373</v>
      </c>
      <c r="G917" s="7" t="s">
        <v>177</v>
      </c>
      <c r="H917" s="7" t="s">
        <v>178</v>
      </c>
      <c r="I917" s="7" t="s">
        <v>1276</v>
      </c>
      <c r="J917" s="209">
        <v>6750</v>
      </c>
      <c r="K917" s="209">
        <v>750</v>
      </c>
      <c r="L917" s="209">
        <v>0</v>
      </c>
      <c r="M917" s="209">
        <v>7500</v>
      </c>
      <c r="N917" s="7" t="s">
        <v>4623</v>
      </c>
      <c r="O917" s="7" t="s">
        <v>124</v>
      </c>
    </row>
    <row r="918" spans="1:15" ht="15" customHeight="1" x14ac:dyDescent="0.25">
      <c r="A918" s="7" t="s">
        <v>4330</v>
      </c>
      <c r="B918" s="7" t="s">
        <v>90</v>
      </c>
      <c r="C918" s="7" t="s">
        <v>648</v>
      </c>
      <c r="D918" s="7" t="s">
        <v>239</v>
      </c>
      <c r="E918" s="7" t="s">
        <v>240</v>
      </c>
      <c r="F918" s="7" t="s">
        <v>4329</v>
      </c>
      <c r="G918" s="7" t="s">
        <v>177</v>
      </c>
      <c r="H918" s="7" t="s">
        <v>178</v>
      </c>
      <c r="I918" s="7" t="s">
        <v>1276</v>
      </c>
      <c r="J918" s="209">
        <v>54450</v>
      </c>
      <c r="K918" s="209">
        <v>6050</v>
      </c>
      <c r="L918" s="209">
        <v>0</v>
      </c>
      <c r="M918" s="209">
        <v>60500</v>
      </c>
      <c r="N918" s="7" t="s">
        <v>4624</v>
      </c>
      <c r="O918" s="7" t="s">
        <v>124</v>
      </c>
    </row>
    <row r="919" spans="1:15" ht="15" customHeight="1" x14ac:dyDescent="0.25">
      <c r="A919" s="7" t="s">
        <v>4330</v>
      </c>
      <c r="B919" s="7" t="s">
        <v>90</v>
      </c>
      <c r="C919" s="7" t="s">
        <v>648</v>
      </c>
      <c r="D919" s="7" t="s">
        <v>2724</v>
      </c>
      <c r="E919" s="7" t="s">
        <v>41</v>
      </c>
      <c r="F919" s="7" t="s">
        <v>4373</v>
      </c>
      <c r="G919" s="7" t="s">
        <v>2345</v>
      </c>
      <c r="H919" s="7" t="s">
        <v>4720</v>
      </c>
      <c r="I919" s="7" t="s">
        <v>1276</v>
      </c>
      <c r="J919" s="209">
        <v>60750</v>
      </c>
      <c r="K919" s="209">
        <v>6750</v>
      </c>
      <c r="L919" s="209">
        <v>0</v>
      </c>
      <c r="M919" s="209">
        <v>67500</v>
      </c>
      <c r="N919" s="7" t="s">
        <v>4623</v>
      </c>
      <c r="O919" s="7" t="s">
        <v>124</v>
      </c>
    </row>
    <row r="920" spans="1:15" ht="15" customHeight="1" x14ac:dyDescent="0.25">
      <c r="A920" s="7" t="s">
        <v>4330</v>
      </c>
      <c r="B920" s="7" t="s">
        <v>90</v>
      </c>
      <c r="C920" s="7" t="s">
        <v>648</v>
      </c>
      <c r="D920" s="7" t="s">
        <v>239</v>
      </c>
      <c r="E920" s="7" t="s">
        <v>240</v>
      </c>
      <c r="F920" s="7" t="s">
        <v>4329</v>
      </c>
      <c r="G920" s="7" t="s">
        <v>2345</v>
      </c>
      <c r="H920" s="199" t="s">
        <v>4747</v>
      </c>
      <c r="I920" s="7" t="s">
        <v>1276</v>
      </c>
      <c r="J920" s="209">
        <v>490050</v>
      </c>
      <c r="K920" s="209">
        <v>54450</v>
      </c>
      <c r="L920" s="209">
        <v>0</v>
      </c>
      <c r="M920" s="209">
        <v>544500</v>
      </c>
      <c r="N920" s="7" t="s">
        <v>624</v>
      </c>
      <c r="O920" s="7" t="s">
        <v>124</v>
      </c>
    </row>
    <row r="921" spans="1:15" ht="15" customHeight="1" x14ac:dyDescent="0.25">
      <c r="A921" s="7" t="s">
        <v>794</v>
      </c>
      <c r="B921" s="7" t="s">
        <v>90</v>
      </c>
      <c r="C921" s="7" t="s">
        <v>648</v>
      </c>
      <c r="D921" s="7" t="s">
        <v>41</v>
      </c>
      <c r="E921" s="7" t="s">
        <v>41</v>
      </c>
      <c r="F921" s="7" t="s">
        <v>949</v>
      </c>
      <c r="G921" s="7" t="s">
        <v>2345</v>
      </c>
      <c r="H921" s="7" t="s">
        <v>2865</v>
      </c>
      <c r="I921" s="7" t="s">
        <v>1276</v>
      </c>
      <c r="J921" s="209">
        <v>390043</v>
      </c>
      <c r="K921" s="209">
        <v>43338.100000000006</v>
      </c>
      <c r="L921" s="209">
        <v>0</v>
      </c>
      <c r="M921" s="209">
        <v>433381</v>
      </c>
      <c r="N921" s="7" t="s">
        <v>624</v>
      </c>
      <c r="O921" s="7" t="s">
        <v>124</v>
      </c>
    </row>
    <row r="922" spans="1:15" ht="15" customHeight="1" x14ac:dyDescent="0.25">
      <c r="A922" s="7" t="s">
        <v>794</v>
      </c>
      <c r="B922" s="7" t="s">
        <v>90</v>
      </c>
      <c r="C922" s="7" t="s">
        <v>648</v>
      </c>
      <c r="D922" s="7" t="s">
        <v>2724</v>
      </c>
      <c r="E922" s="7" t="s">
        <v>41</v>
      </c>
      <c r="F922" s="7" t="s">
        <v>948</v>
      </c>
      <c r="G922" s="7" t="s">
        <v>177</v>
      </c>
      <c r="H922" s="7" t="s">
        <v>178</v>
      </c>
      <c r="I922" s="7" t="s">
        <v>1276</v>
      </c>
      <c r="J922" s="209">
        <v>27000</v>
      </c>
      <c r="K922" s="209">
        <v>3000</v>
      </c>
      <c r="L922" s="209">
        <v>0</v>
      </c>
      <c r="M922" s="209">
        <v>30000</v>
      </c>
      <c r="N922" s="7" t="s">
        <v>4616</v>
      </c>
      <c r="O922" s="7" t="s">
        <v>124</v>
      </c>
    </row>
    <row r="923" spans="1:15" ht="15" customHeight="1" x14ac:dyDescent="0.25">
      <c r="A923" s="215" t="s">
        <v>794</v>
      </c>
      <c r="B923" s="61" t="s">
        <v>90</v>
      </c>
      <c r="C923" s="61" t="s">
        <v>648</v>
      </c>
      <c r="D923" s="199" t="s">
        <v>949</v>
      </c>
      <c r="E923" s="199" t="s">
        <v>41</v>
      </c>
      <c r="F923" s="199" t="s">
        <v>41</v>
      </c>
      <c r="G923" s="7" t="s">
        <v>2345</v>
      </c>
      <c r="H923" s="7" t="s">
        <v>2865</v>
      </c>
      <c r="I923" s="199" t="s">
        <v>1276</v>
      </c>
      <c r="J923" s="235">
        <v>159047</v>
      </c>
      <c r="K923" s="211">
        <v>17672</v>
      </c>
      <c r="L923" s="211">
        <v>0</v>
      </c>
      <c r="M923" s="235">
        <v>176719</v>
      </c>
      <c r="N923" s="61" t="s">
        <v>624</v>
      </c>
      <c r="O923" s="61" t="s">
        <v>124</v>
      </c>
    </row>
    <row r="924" spans="1:15" ht="15" customHeight="1" x14ac:dyDescent="0.25">
      <c r="A924" s="215" t="s">
        <v>794</v>
      </c>
      <c r="B924" s="61" t="s">
        <v>90</v>
      </c>
      <c r="C924" s="61" t="s">
        <v>648</v>
      </c>
      <c r="D924" s="199" t="s">
        <v>948</v>
      </c>
      <c r="E924" s="199" t="s">
        <v>41</v>
      </c>
      <c r="F924" s="199" t="s">
        <v>41</v>
      </c>
      <c r="G924" s="7" t="s">
        <v>2345</v>
      </c>
      <c r="H924" s="7" t="s">
        <v>2865</v>
      </c>
      <c r="I924" s="199" t="s">
        <v>1276</v>
      </c>
      <c r="J924" s="235">
        <v>26870</v>
      </c>
      <c r="K924" s="211">
        <v>2986</v>
      </c>
      <c r="L924" s="211">
        <v>0</v>
      </c>
      <c r="M924" s="235">
        <v>29856</v>
      </c>
      <c r="N924" s="61" t="s">
        <v>624</v>
      </c>
      <c r="O924" s="61" t="s">
        <v>124</v>
      </c>
    </row>
    <row r="925" spans="1:15" ht="15" customHeight="1" x14ac:dyDescent="0.25">
      <c r="A925" s="7" t="s">
        <v>794</v>
      </c>
      <c r="B925" s="7" t="s">
        <v>90</v>
      </c>
      <c r="C925" s="7" t="s">
        <v>648</v>
      </c>
      <c r="D925" s="7" t="s">
        <v>2724</v>
      </c>
      <c r="E925" s="7" t="s">
        <v>41</v>
      </c>
      <c r="F925" s="7" t="s">
        <v>948</v>
      </c>
      <c r="G925" s="7" t="s">
        <v>2345</v>
      </c>
      <c r="H925" s="7" t="s">
        <v>2865</v>
      </c>
      <c r="I925" s="7" t="s">
        <v>1276</v>
      </c>
      <c r="J925" s="209">
        <v>243000</v>
      </c>
      <c r="K925" s="209">
        <v>27000</v>
      </c>
      <c r="L925" s="209">
        <v>0</v>
      </c>
      <c r="M925" s="209">
        <v>270000</v>
      </c>
      <c r="N925" s="7" t="s">
        <v>624</v>
      </c>
      <c r="O925" s="7" t="s">
        <v>124</v>
      </c>
    </row>
    <row r="926" spans="1:15" ht="15" customHeight="1" x14ac:dyDescent="0.25">
      <c r="A926" s="7" t="s">
        <v>794</v>
      </c>
      <c r="B926" s="7" t="s">
        <v>90</v>
      </c>
      <c r="C926" s="7" t="s">
        <v>648</v>
      </c>
      <c r="D926" s="7" t="s">
        <v>41</v>
      </c>
      <c r="E926" s="7" t="s">
        <v>41</v>
      </c>
      <c r="F926" s="7" t="s">
        <v>949</v>
      </c>
      <c r="G926" s="7" t="s">
        <v>177</v>
      </c>
      <c r="H926" s="7" t="s">
        <v>178</v>
      </c>
      <c r="I926" s="7" t="s">
        <v>1276</v>
      </c>
      <c r="J926" s="209">
        <v>39004</v>
      </c>
      <c r="K926" s="209">
        <v>4333.8</v>
      </c>
      <c r="L926" s="209">
        <v>0</v>
      </c>
      <c r="M926" s="209">
        <v>43338</v>
      </c>
      <c r="N926" s="7" t="s">
        <v>624</v>
      </c>
      <c r="O926" s="7" t="s">
        <v>124</v>
      </c>
    </row>
    <row r="927" spans="1:15" ht="15" customHeight="1" x14ac:dyDescent="0.25">
      <c r="A927" s="221" t="s">
        <v>4688</v>
      </c>
      <c r="B927" s="221" t="s">
        <v>18</v>
      </c>
      <c r="C927" s="221" t="s">
        <v>648</v>
      </c>
      <c r="D927" s="221" t="s">
        <v>648</v>
      </c>
      <c r="E927" s="221" t="s">
        <v>692</v>
      </c>
      <c r="F927" s="221" t="s">
        <v>693</v>
      </c>
      <c r="G927" s="224" t="s">
        <v>2345</v>
      </c>
      <c r="H927" s="224" t="s">
        <v>3780</v>
      </c>
      <c r="I927" s="221" t="s">
        <v>652</v>
      </c>
      <c r="J927" s="226"/>
      <c r="K927" s="226"/>
      <c r="L927" s="222">
        <v>1499579</v>
      </c>
      <c r="M927" s="222">
        <v>1499579</v>
      </c>
      <c r="N927" s="221" t="s">
        <v>323</v>
      </c>
      <c r="O927" s="221" t="s">
        <v>125</v>
      </c>
    </row>
    <row r="928" spans="1:15" ht="15" customHeight="1" x14ac:dyDescent="0.25">
      <c r="A928" s="221" t="s">
        <v>4695</v>
      </c>
      <c r="B928" s="221" t="s">
        <v>18</v>
      </c>
      <c r="C928" s="221" t="s">
        <v>648</v>
      </c>
      <c r="D928" s="221" t="s">
        <v>648</v>
      </c>
      <c r="E928" s="221" t="s">
        <v>684</v>
      </c>
      <c r="F928" s="221" t="s">
        <v>684</v>
      </c>
      <c r="G928" s="224" t="s">
        <v>2345</v>
      </c>
      <c r="H928" s="224" t="s">
        <v>3780</v>
      </c>
      <c r="I928" s="221" t="s">
        <v>652</v>
      </c>
      <c r="J928" s="226"/>
      <c r="K928" s="226"/>
      <c r="L928" s="222">
        <v>5403088</v>
      </c>
      <c r="M928" s="222">
        <v>5403088</v>
      </c>
      <c r="N928" s="221" t="s">
        <v>323</v>
      </c>
      <c r="O928" s="221" t="s">
        <v>125</v>
      </c>
    </row>
    <row r="929" spans="1:15" ht="15" customHeight="1" x14ac:dyDescent="0.25">
      <c r="A929" s="221" t="s">
        <v>4695</v>
      </c>
      <c r="B929" s="221" t="s">
        <v>18</v>
      </c>
      <c r="C929" s="221" t="s">
        <v>648</v>
      </c>
      <c r="D929" s="221" t="s">
        <v>648</v>
      </c>
      <c r="E929" s="221" t="s">
        <v>684</v>
      </c>
      <c r="F929" s="221" t="s">
        <v>684</v>
      </c>
      <c r="G929" s="221" t="s">
        <v>2289</v>
      </c>
      <c r="H929" s="221" t="s">
        <v>697</v>
      </c>
      <c r="I929" s="221" t="s">
        <v>652</v>
      </c>
      <c r="J929" s="226"/>
      <c r="K929" s="226"/>
      <c r="L929" s="222">
        <v>5000000</v>
      </c>
      <c r="M929" s="222">
        <v>5000000</v>
      </c>
      <c r="N929" s="221" t="s">
        <v>4690</v>
      </c>
      <c r="O929" s="221" t="s">
        <v>125</v>
      </c>
    </row>
    <row r="930" spans="1:15" ht="15" customHeight="1" x14ac:dyDescent="0.25">
      <c r="A930" s="221" t="s">
        <v>4695</v>
      </c>
      <c r="B930" s="221" t="s">
        <v>18</v>
      </c>
      <c r="C930" s="221" t="s">
        <v>648</v>
      </c>
      <c r="D930" s="221" t="s">
        <v>648</v>
      </c>
      <c r="E930" s="221" t="s">
        <v>684</v>
      </c>
      <c r="F930" s="221" t="s">
        <v>684</v>
      </c>
      <c r="G930" s="224" t="s">
        <v>2345</v>
      </c>
      <c r="H930" s="221" t="s">
        <v>686</v>
      </c>
      <c r="I930" s="221" t="s">
        <v>652</v>
      </c>
      <c r="J930" s="226"/>
      <c r="K930" s="226"/>
      <c r="L930" s="222">
        <v>4000000</v>
      </c>
      <c r="M930" s="222">
        <v>4000000</v>
      </c>
      <c r="N930" s="221" t="s">
        <v>4690</v>
      </c>
      <c r="O930" s="221" t="s">
        <v>125</v>
      </c>
    </row>
    <row r="931" spans="1:15" ht="15" customHeight="1" x14ac:dyDescent="0.25">
      <c r="A931" s="221" t="s">
        <v>4695</v>
      </c>
      <c r="B931" s="221" t="s">
        <v>18</v>
      </c>
      <c r="C931" s="221" t="s">
        <v>648</v>
      </c>
      <c r="D931" s="221" t="s">
        <v>648</v>
      </c>
      <c r="E931" s="221" t="s">
        <v>684</v>
      </c>
      <c r="F931" s="221" t="s">
        <v>684</v>
      </c>
      <c r="G931" s="224" t="s">
        <v>2345</v>
      </c>
      <c r="H931" s="221" t="s">
        <v>685</v>
      </c>
      <c r="I931" s="221" t="s">
        <v>652</v>
      </c>
      <c r="J931" s="226"/>
      <c r="K931" s="226"/>
      <c r="L931" s="222">
        <v>3790982</v>
      </c>
      <c r="M931" s="222">
        <v>3790982</v>
      </c>
      <c r="N931" s="221" t="s">
        <v>2791</v>
      </c>
      <c r="O931" s="221" t="s">
        <v>125</v>
      </c>
    </row>
    <row r="932" spans="1:15" ht="15" customHeight="1" x14ac:dyDescent="0.25">
      <c r="A932" s="221" t="s">
        <v>4695</v>
      </c>
      <c r="B932" s="221" t="s">
        <v>18</v>
      </c>
      <c r="C932" s="221" t="s">
        <v>648</v>
      </c>
      <c r="D932" s="221" t="s">
        <v>648</v>
      </c>
      <c r="E932" s="221" t="s">
        <v>684</v>
      </c>
      <c r="F932" s="221" t="s">
        <v>684</v>
      </c>
      <c r="G932" s="224" t="s">
        <v>2345</v>
      </c>
      <c r="H932" s="221" t="s">
        <v>686</v>
      </c>
      <c r="I932" s="221" t="s">
        <v>652</v>
      </c>
      <c r="J932" s="226"/>
      <c r="K932" s="226"/>
      <c r="L932" s="222">
        <v>3582823</v>
      </c>
      <c r="M932" s="222">
        <v>3582823</v>
      </c>
      <c r="N932" s="221" t="s">
        <v>4690</v>
      </c>
      <c r="O932" s="221" t="s">
        <v>125</v>
      </c>
    </row>
    <row r="933" spans="1:15" ht="15" customHeight="1" x14ac:dyDescent="0.25">
      <c r="A933" s="221" t="s">
        <v>4695</v>
      </c>
      <c r="B933" s="221" t="s">
        <v>18</v>
      </c>
      <c r="C933" s="221" t="s">
        <v>648</v>
      </c>
      <c r="D933" s="221" t="s">
        <v>648</v>
      </c>
      <c r="E933" s="221" t="s">
        <v>684</v>
      </c>
      <c r="F933" s="221" t="s">
        <v>684</v>
      </c>
      <c r="G933" s="221" t="s">
        <v>2289</v>
      </c>
      <c r="H933" s="221" t="s">
        <v>676</v>
      </c>
      <c r="I933" s="221" t="s">
        <v>652</v>
      </c>
      <c r="J933" s="226"/>
      <c r="K933" s="226"/>
      <c r="L933" s="222">
        <v>3000000</v>
      </c>
      <c r="M933" s="222">
        <v>3000000</v>
      </c>
      <c r="N933" s="221" t="s">
        <v>4690</v>
      </c>
      <c r="O933" s="221" t="s">
        <v>125</v>
      </c>
    </row>
    <row r="934" spans="1:15" ht="15" customHeight="1" x14ac:dyDescent="0.25">
      <c r="A934" s="221" t="s">
        <v>4695</v>
      </c>
      <c r="B934" s="221" t="s">
        <v>18</v>
      </c>
      <c r="C934" s="221" t="s">
        <v>648</v>
      </c>
      <c r="D934" s="221" t="s">
        <v>648</v>
      </c>
      <c r="E934" s="221" t="s">
        <v>684</v>
      </c>
      <c r="F934" s="221" t="s">
        <v>684</v>
      </c>
      <c r="G934" s="221" t="s">
        <v>2289</v>
      </c>
      <c r="H934" s="221" t="s">
        <v>676</v>
      </c>
      <c r="I934" s="221" t="s">
        <v>652</v>
      </c>
      <c r="J934" s="226"/>
      <c r="K934" s="226"/>
      <c r="L934" s="222">
        <v>3000000</v>
      </c>
      <c r="M934" s="222">
        <v>3000000</v>
      </c>
      <c r="N934" s="221" t="s">
        <v>4690</v>
      </c>
      <c r="O934" s="221" t="s">
        <v>125</v>
      </c>
    </row>
    <row r="935" spans="1:15" ht="15" customHeight="1" x14ac:dyDescent="0.25">
      <c r="A935" s="223" t="s">
        <v>4695</v>
      </c>
      <c r="B935" s="224" t="s">
        <v>90</v>
      </c>
      <c r="C935" s="224" t="s">
        <v>648</v>
      </c>
      <c r="D935" s="225" t="s">
        <v>41</v>
      </c>
      <c r="E935" s="224" t="s">
        <v>41</v>
      </c>
      <c r="F935" s="224" t="s">
        <v>226</v>
      </c>
      <c r="G935" s="224" t="s">
        <v>117</v>
      </c>
      <c r="H935" s="224" t="s">
        <v>119</v>
      </c>
      <c r="I935" s="224" t="s">
        <v>224</v>
      </c>
      <c r="J935" s="226"/>
      <c r="K935" s="226"/>
      <c r="L935" s="226">
        <v>2875000</v>
      </c>
      <c r="M935" s="226">
        <v>2875000</v>
      </c>
      <c r="N935" s="224" t="s">
        <v>225</v>
      </c>
      <c r="O935" s="224" t="s">
        <v>125</v>
      </c>
    </row>
    <row r="936" spans="1:15" ht="15" customHeight="1" x14ac:dyDescent="0.25">
      <c r="A936" s="221" t="s">
        <v>4695</v>
      </c>
      <c r="B936" s="221" t="s">
        <v>18</v>
      </c>
      <c r="C936" s="221" t="s">
        <v>648</v>
      </c>
      <c r="D936" s="221" t="s">
        <v>648</v>
      </c>
      <c r="E936" s="221" t="s">
        <v>684</v>
      </c>
      <c r="F936" s="221" t="s">
        <v>684</v>
      </c>
      <c r="G936" s="224" t="s">
        <v>2345</v>
      </c>
      <c r="H936" s="221" t="s">
        <v>687</v>
      </c>
      <c r="I936" s="221" t="s">
        <v>652</v>
      </c>
      <c r="J936" s="226"/>
      <c r="K936" s="226"/>
      <c r="L936" s="222">
        <v>2603186</v>
      </c>
      <c r="M936" s="222">
        <v>2603186</v>
      </c>
      <c r="N936" s="221" t="s">
        <v>4690</v>
      </c>
      <c r="O936" s="221" t="s">
        <v>125</v>
      </c>
    </row>
    <row r="937" spans="1:15" ht="15" customHeight="1" x14ac:dyDescent="0.25">
      <c r="A937" s="221" t="s">
        <v>4695</v>
      </c>
      <c r="B937" s="221" t="s">
        <v>18</v>
      </c>
      <c r="C937" s="221" t="s">
        <v>648</v>
      </c>
      <c r="D937" s="221" t="s">
        <v>648</v>
      </c>
      <c r="E937" s="221" t="s">
        <v>684</v>
      </c>
      <c r="F937" s="221" t="s">
        <v>684</v>
      </c>
      <c r="G937" s="221" t="s">
        <v>2289</v>
      </c>
      <c r="H937" s="221" t="s">
        <v>676</v>
      </c>
      <c r="I937" s="221" t="s">
        <v>652</v>
      </c>
      <c r="J937" s="226"/>
      <c r="K937" s="226"/>
      <c r="L937" s="222">
        <v>2500000</v>
      </c>
      <c r="M937" s="222">
        <v>2500000</v>
      </c>
      <c r="N937" s="221" t="s">
        <v>4690</v>
      </c>
      <c r="O937" s="221" t="s">
        <v>125</v>
      </c>
    </row>
    <row r="938" spans="1:15" ht="15" customHeight="1" x14ac:dyDescent="0.25">
      <c r="A938" s="221" t="s">
        <v>4695</v>
      </c>
      <c r="B938" s="221" t="s">
        <v>18</v>
      </c>
      <c r="C938" s="221" t="s">
        <v>648</v>
      </c>
      <c r="D938" s="221" t="s">
        <v>648</v>
      </c>
      <c r="E938" s="221" t="s">
        <v>684</v>
      </c>
      <c r="F938" s="221" t="s">
        <v>684</v>
      </c>
      <c r="G938" s="224" t="s">
        <v>2345</v>
      </c>
      <c r="H938" s="221" t="s">
        <v>688</v>
      </c>
      <c r="I938" s="221" t="s">
        <v>652</v>
      </c>
      <c r="J938" s="226"/>
      <c r="K938" s="226"/>
      <c r="L938" s="222">
        <v>2485000</v>
      </c>
      <c r="M938" s="222">
        <v>2485000</v>
      </c>
      <c r="N938" s="221" t="s">
        <v>4690</v>
      </c>
      <c r="O938" s="221" t="s">
        <v>125</v>
      </c>
    </row>
    <row r="939" spans="1:15" ht="15" customHeight="1" x14ac:dyDescent="0.25">
      <c r="A939" s="223" t="s">
        <v>4695</v>
      </c>
      <c r="B939" s="224" t="s">
        <v>90</v>
      </c>
      <c r="C939" s="224" t="s">
        <v>648</v>
      </c>
      <c r="D939" s="225" t="s">
        <v>41</v>
      </c>
      <c r="E939" s="224" t="s">
        <v>41</v>
      </c>
      <c r="F939" s="224" t="s">
        <v>226</v>
      </c>
      <c r="G939" s="224" t="s">
        <v>212</v>
      </c>
      <c r="H939" s="224" t="s">
        <v>213</v>
      </c>
      <c r="I939" s="224" t="s">
        <v>224</v>
      </c>
      <c r="J939" s="226"/>
      <c r="K939" s="226"/>
      <c r="L939" s="226">
        <v>2400000</v>
      </c>
      <c r="M939" s="226">
        <v>2400000</v>
      </c>
      <c r="N939" s="224" t="s">
        <v>225</v>
      </c>
      <c r="O939" s="224" t="s">
        <v>125</v>
      </c>
    </row>
    <row r="940" spans="1:15" ht="15" customHeight="1" x14ac:dyDescent="0.25">
      <c r="A940" s="223" t="s">
        <v>4695</v>
      </c>
      <c r="B940" s="224" t="s">
        <v>90</v>
      </c>
      <c r="C940" s="224" t="s">
        <v>648</v>
      </c>
      <c r="D940" s="225" t="s">
        <v>41</v>
      </c>
      <c r="E940" s="224" t="s">
        <v>41</v>
      </c>
      <c r="F940" s="224" t="s">
        <v>226</v>
      </c>
      <c r="G940" s="224" t="s">
        <v>177</v>
      </c>
      <c r="H940" s="224" t="s">
        <v>178</v>
      </c>
      <c r="I940" s="224" t="s">
        <v>224</v>
      </c>
      <c r="J940" s="226"/>
      <c r="K940" s="226"/>
      <c r="L940" s="226">
        <v>2240000</v>
      </c>
      <c r="M940" s="226">
        <v>2240000</v>
      </c>
      <c r="N940" s="224" t="s">
        <v>225</v>
      </c>
      <c r="O940" s="224" t="s">
        <v>125</v>
      </c>
    </row>
    <row r="941" spans="1:15" ht="15" customHeight="1" x14ac:dyDescent="0.25">
      <c r="A941" s="223" t="s">
        <v>4695</v>
      </c>
      <c r="B941" s="224" t="s">
        <v>90</v>
      </c>
      <c r="C941" s="224" t="s">
        <v>648</v>
      </c>
      <c r="D941" s="225" t="s">
        <v>41</v>
      </c>
      <c r="E941" s="224" t="s">
        <v>41</v>
      </c>
      <c r="F941" s="224" t="s">
        <v>226</v>
      </c>
      <c r="G941" s="224" t="s">
        <v>2345</v>
      </c>
      <c r="H941" s="224" t="s">
        <v>227</v>
      </c>
      <c r="I941" s="224" t="s">
        <v>224</v>
      </c>
      <c r="J941" s="226"/>
      <c r="K941" s="226"/>
      <c r="L941" s="226">
        <v>1720857.81</v>
      </c>
      <c r="M941" s="226">
        <v>1720857.81</v>
      </c>
      <c r="N941" s="224" t="s">
        <v>225</v>
      </c>
      <c r="O941" s="224" t="s">
        <v>125</v>
      </c>
    </row>
    <row r="942" spans="1:15" x14ac:dyDescent="0.25">
      <c r="A942" s="223" t="s">
        <v>4695</v>
      </c>
      <c r="B942" s="224" t="s">
        <v>90</v>
      </c>
      <c r="C942" s="224" t="s">
        <v>648</v>
      </c>
      <c r="D942" s="225" t="s">
        <v>41</v>
      </c>
      <c r="E942" s="224" t="s">
        <v>41</v>
      </c>
      <c r="F942" s="224" t="s">
        <v>226</v>
      </c>
      <c r="G942" s="224" t="s">
        <v>117</v>
      </c>
      <c r="H942" s="224" t="s">
        <v>119</v>
      </c>
      <c r="I942" s="224" t="s">
        <v>224</v>
      </c>
      <c r="J942" s="226"/>
      <c r="K942" s="226"/>
      <c r="L942" s="226">
        <v>1550001</v>
      </c>
      <c r="M942" s="226">
        <v>1550001</v>
      </c>
      <c r="N942" s="224" t="s">
        <v>225</v>
      </c>
      <c r="O942" s="224" t="s">
        <v>125</v>
      </c>
    </row>
    <row r="943" spans="1:15" x14ac:dyDescent="0.25">
      <c r="A943" s="223" t="s">
        <v>4695</v>
      </c>
      <c r="B943" s="224" t="s">
        <v>90</v>
      </c>
      <c r="C943" s="224" t="s">
        <v>648</v>
      </c>
      <c r="D943" s="225" t="s">
        <v>41</v>
      </c>
      <c r="E943" s="224" t="s">
        <v>41</v>
      </c>
      <c r="F943" s="224" t="s">
        <v>226</v>
      </c>
      <c r="G943" s="224" t="s">
        <v>117</v>
      </c>
      <c r="H943" s="224" t="s">
        <v>119</v>
      </c>
      <c r="I943" s="224" t="s">
        <v>224</v>
      </c>
      <c r="J943" s="226"/>
      <c r="K943" s="226"/>
      <c r="L943" s="226">
        <v>1550001</v>
      </c>
      <c r="M943" s="226">
        <v>1550001</v>
      </c>
      <c r="N943" s="224" t="s">
        <v>225</v>
      </c>
      <c r="O943" s="224" t="s">
        <v>125</v>
      </c>
    </row>
    <row r="944" spans="1:15" x14ac:dyDescent="0.25">
      <c r="A944" s="223" t="s">
        <v>4695</v>
      </c>
      <c r="B944" s="224" t="s">
        <v>90</v>
      </c>
      <c r="C944" s="224" t="s">
        <v>648</v>
      </c>
      <c r="D944" s="225" t="s">
        <v>41</v>
      </c>
      <c r="E944" s="224" t="s">
        <v>41</v>
      </c>
      <c r="F944" s="224" t="s">
        <v>226</v>
      </c>
      <c r="G944" s="224" t="s">
        <v>117</v>
      </c>
      <c r="H944" s="224" t="s">
        <v>119</v>
      </c>
      <c r="I944" s="224" t="s">
        <v>224</v>
      </c>
      <c r="J944" s="226"/>
      <c r="K944" s="226"/>
      <c r="L944" s="226">
        <v>1550001</v>
      </c>
      <c r="M944" s="226">
        <v>1550001</v>
      </c>
      <c r="N944" s="224" t="s">
        <v>225</v>
      </c>
      <c r="O944" s="224" t="s">
        <v>125</v>
      </c>
    </row>
    <row r="945" spans="1:15" x14ac:dyDescent="0.25">
      <c r="A945" s="223" t="s">
        <v>4695</v>
      </c>
      <c r="B945" s="224" t="s">
        <v>90</v>
      </c>
      <c r="C945" s="224" t="s">
        <v>648</v>
      </c>
      <c r="D945" s="225" t="s">
        <v>41</v>
      </c>
      <c r="E945" s="224" t="s">
        <v>41</v>
      </c>
      <c r="F945" s="224" t="s">
        <v>226</v>
      </c>
      <c r="G945" s="224" t="s">
        <v>117</v>
      </c>
      <c r="H945" s="224" t="s">
        <v>119</v>
      </c>
      <c r="I945" s="224" t="s">
        <v>224</v>
      </c>
      <c r="J945" s="226"/>
      <c r="K945" s="226"/>
      <c r="L945" s="226">
        <v>1550001</v>
      </c>
      <c r="M945" s="226">
        <v>1550001</v>
      </c>
      <c r="N945" s="224" t="s">
        <v>225</v>
      </c>
      <c r="O945" s="224" t="s">
        <v>125</v>
      </c>
    </row>
    <row r="946" spans="1:15" x14ac:dyDescent="0.25">
      <c r="A946" s="223" t="s">
        <v>4695</v>
      </c>
      <c r="B946" s="224" t="s">
        <v>90</v>
      </c>
      <c r="C946" s="224" t="s">
        <v>648</v>
      </c>
      <c r="D946" s="225" t="s">
        <v>41</v>
      </c>
      <c r="E946" s="224" t="s">
        <v>41</v>
      </c>
      <c r="F946" s="224" t="s">
        <v>226</v>
      </c>
      <c r="G946" s="224" t="s">
        <v>117</v>
      </c>
      <c r="H946" s="224" t="s">
        <v>119</v>
      </c>
      <c r="I946" s="224" t="s">
        <v>224</v>
      </c>
      <c r="J946" s="226"/>
      <c r="K946" s="226"/>
      <c r="L946" s="226">
        <v>1500000</v>
      </c>
      <c r="M946" s="226">
        <v>1500000</v>
      </c>
      <c r="N946" s="224" t="s">
        <v>225</v>
      </c>
      <c r="O946" s="224" t="s">
        <v>125</v>
      </c>
    </row>
    <row r="947" spans="1:15" x14ac:dyDescent="0.25">
      <c r="A947" s="223" t="s">
        <v>4695</v>
      </c>
      <c r="B947" s="224" t="s">
        <v>90</v>
      </c>
      <c r="C947" s="224" t="s">
        <v>648</v>
      </c>
      <c r="D947" s="225" t="s">
        <v>41</v>
      </c>
      <c r="E947" s="224" t="s">
        <v>41</v>
      </c>
      <c r="F947" s="224" t="s">
        <v>226</v>
      </c>
      <c r="G947" s="224" t="s">
        <v>117</v>
      </c>
      <c r="H947" s="224" t="s">
        <v>119</v>
      </c>
      <c r="I947" s="224" t="s">
        <v>224</v>
      </c>
      <c r="J947" s="226"/>
      <c r="K947" s="226"/>
      <c r="L947" s="226">
        <v>1500000</v>
      </c>
      <c r="M947" s="226">
        <v>1500000</v>
      </c>
      <c r="N947" s="224" t="s">
        <v>225</v>
      </c>
      <c r="O947" s="224" t="s">
        <v>125</v>
      </c>
    </row>
    <row r="948" spans="1:15" x14ac:dyDescent="0.25">
      <c r="A948" s="223" t="s">
        <v>4695</v>
      </c>
      <c r="B948" s="224" t="s">
        <v>90</v>
      </c>
      <c r="C948" s="224" t="s">
        <v>648</v>
      </c>
      <c r="D948" s="225" t="s">
        <v>41</v>
      </c>
      <c r="E948" s="224" t="s">
        <v>41</v>
      </c>
      <c r="F948" s="224" t="s">
        <v>226</v>
      </c>
      <c r="G948" s="224" t="s">
        <v>117</v>
      </c>
      <c r="H948" s="224" t="s">
        <v>119</v>
      </c>
      <c r="I948" s="224" t="s">
        <v>224</v>
      </c>
      <c r="J948" s="226"/>
      <c r="K948" s="226"/>
      <c r="L948" s="226">
        <v>1500000</v>
      </c>
      <c r="M948" s="226">
        <v>1500000</v>
      </c>
      <c r="N948" s="224" t="s">
        <v>225</v>
      </c>
      <c r="O948" s="224" t="s">
        <v>125</v>
      </c>
    </row>
    <row r="949" spans="1:15" x14ac:dyDescent="0.25">
      <c r="A949" s="221" t="s">
        <v>4695</v>
      </c>
      <c r="B949" s="221" t="s">
        <v>18</v>
      </c>
      <c r="C949" s="221" t="s">
        <v>648</v>
      </c>
      <c r="D949" s="221" t="s">
        <v>648</v>
      </c>
      <c r="E949" s="221" t="s">
        <v>715</v>
      </c>
      <c r="F949" s="221" t="s">
        <v>446</v>
      </c>
      <c r="G949" s="224" t="s">
        <v>2345</v>
      </c>
      <c r="H949" s="221" t="s">
        <v>718</v>
      </c>
      <c r="I949" s="221" t="s">
        <v>652</v>
      </c>
      <c r="J949" s="226"/>
      <c r="K949" s="226"/>
      <c r="L949" s="222">
        <v>1379000</v>
      </c>
      <c r="M949" s="222">
        <v>1379000</v>
      </c>
      <c r="N949" s="221" t="s">
        <v>4690</v>
      </c>
      <c r="O949" s="221" t="s">
        <v>125</v>
      </c>
    </row>
    <row r="950" spans="1:15" x14ac:dyDescent="0.25">
      <c r="A950" s="221" t="s">
        <v>4695</v>
      </c>
      <c r="B950" s="221" t="s">
        <v>18</v>
      </c>
      <c r="C950" s="221" t="s">
        <v>648</v>
      </c>
      <c r="D950" s="221" t="s">
        <v>648</v>
      </c>
      <c r="E950" s="221" t="s">
        <v>684</v>
      </c>
      <c r="F950" s="221" t="s">
        <v>684</v>
      </c>
      <c r="G950" s="224" t="s">
        <v>2345</v>
      </c>
      <c r="H950" s="221" t="s">
        <v>148</v>
      </c>
      <c r="I950" s="221" t="s">
        <v>652</v>
      </c>
      <c r="J950" s="226"/>
      <c r="K950" s="226"/>
      <c r="L950" s="222">
        <v>1310004</v>
      </c>
      <c r="M950" s="222">
        <v>1310004</v>
      </c>
      <c r="N950" s="221" t="s">
        <v>4625</v>
      </c>
      <c r="O950" s="221" t="s">
        <v>125</v>
      </c>
    </row>
    <row r="951" spans="1:15" x14ac:dyDescent="0.25">
      <c r="A951" s="223" t="s">
        <v>4695</v>
      </c>
      <c r="B951" s="224" t="s">
        <v>90</v>
      </c>
      <c r="C951" s="224" t="s">
        <v>648</v>
      </c>
      <c r="D951" s="225" t="s">
        <v>41</v>
      </c>
      <c r="E951" s="224" t="s">
        <v>41</v>
      </c>
      <c r="F951" s="224" t="s">
        <v>226</v>
      </c>
      <c r="G951" s="224" t="s">
        <v>117</v>
      </c>
      <c r="H951" s="224" t="s">
        <v>119</v>
      </c>
      <c r="I951" s="224" t="s">
        <v>224</v>
      </c>
      <c r="J951" s="226"/>
      <c r="K951" s="226"/>
      <c r="L951" s="226">
        <v>1300000</v>
      </c>
      <c r="M951" s="226">
        <v>1300000</v>
      </c>
      <c r="N951" s="224" t="s">
        <v>225</v>
      </c>
      <c r="O951" s="224" t="s">
        <v>125</v>
      </c>
    </row>
    <row r="952" spans="1:15" x14ac:dyDescent="0.25">
      <c r="A952" s="221" t="s">
        <v>4695</v>
      </c>
      <c r="B952" s="221" t="s">
        <v>18</v>
      </c>
      <c r="C952" s="221" t="s">
        <v>648</v>
      </c>
      <c r="D952" s="221" t="s">
        <v>648</v>
      </c>
      <c r="E952" s="221" t="s">
        <v>684</v>
      </c>
      <c r="F952" s="221" t="s">
        <v>684</v>
      </c>
      <c r="G952" s="224" t="s">
        <v>2345</v>
      </c>
      <c r="H952" s="221" t="s">
        <v>686</v>
      </c>
      <c r="I952" s="221" t="s">
        <v>652</v>
      </c>
      <c r="J952" s="226"/>
      <c r="K952" s="226"/>
      <c r="L952" s="222">
        <v>1268710</v>
      </c>
      <c r="M952" s="222">
        <v>1268710</v>
      </c>
      <c r="N952" s="221" t="s">
        <v>4690</v>
      </c>
      <c r="O952" s="221" t="s">
        <v>125</v>
      </c>
    </row>
    <row r="953" spans="1:15" x14ac:dyDescent="0.25">
      <c r="A953" s="223" t="s">
        <v>4695</v>
      </c>
      <c r="B953" s="224" t="s">
        <v>90</v>
      </c>
      <c r="C953" s="224" t="s">
        <v>648</v>
      </c>
      <c r="D953" s="225" t="s">
        <v>41</v>
      </c>
      <c r="E953" s="224" t="s">
        <v>41</v>
      </c>
      <c r="F953" s="224" t="s">
        <v>226</v>
      </c>
      <c r="G953" s="224" t="s">
        <v>212</v>
      </c>
      <c r="H953" s="224" t="s">
        <v>213</v>
      </c>
      <c r="I953" s="224" t="s">
        <v>224</v>
      </c>
      <c r="J953" s="226"/>
      <c r="K953" s="226"/>
      <c r="L953" s="226">
        <v>1251000</v>
      </c>
      <c r="M953" s="226">
        <v>1251000</v>
      </c>
      <c r="N953" s="224" t="s">
        <v>225</v>
      </c>
      <c r="O953" s="224" t="s">
        <v>125</v>
      </c>
    </row>
    <row r="954" spans="1:15" x14ac:dyDescent="0.25">
      <c r="A954" s="223" t="s">
        <v>4695</v>
      </c>
      <c r="B954" s="224" t="s">
        <v>90</v>
      </c>
      <c r="C954" s="224" t="s">
        <v>648</v>
      </c>
      <c r="D954" s="225" t="s">
        <v>41</v>
      </c>
      <c r="E954" s="224" t="s">
        <v>41</v>
      </c>
      <c r="F954" s="224" t="s">
        <v>226</v>
      </c>
      <c r="G954" s="224" t="s">
        <v>177</v>
      </c>
      <c r="H954" s="224" t="s">
        <v>178</v>
      </c>
      <c r="I954" s="224" t="s">
        <v>224</v>
      </c>
      <c r="J954" s="226"/>
      <c r="K954" s="226"/>
      <c r="L954" s="226">
        <v>1250000.01</v>
      </c>
      <c r="M954" s="226">
        <v>1250000.01</v>
      </c>
      <c r="N954" s="224" t="s">
        <v>225</v>
      </c>
      <c r="O954" s="224" t="s">
        <v>125</v>
      </c>
    </row>
    <row r="955" spans="1:15" x14ac:dyDescent="0.25">
      <c r="A955" s="223" t="s">
        <v>4695</v>
      </c>
      <c r="B955" s="224" t="s">
        <v>90</v>
      </c>
      <c r="C955" s="224" t="s">
        <v>648</v>
      </c>
      <c r="D955" s="225" t="s">
        <v>41</v>
      </c>
      <c r="E955" s="224" t="s">
        <v>41</v>
      </c>
      <c r="F955" s="224" t="s">
        <v>226</v>
      </c>
      <c r="G955" s="224" t="s">
        <v>117</v>
      </c>
      <c r="H955" s="224" t="s">
        <v>119</v>
      </c>
      <c r="I955" s="224" t="s">
        <v>224</v>
      </c>
      <c r="J955" s="226"/>
      <c r="K955" s="226"/>
      <c r="L955" s="226">
        <v>1250000</v>
      </c>
      <c r="M955" s="226">
        <v>1250000</v>
      </c>
      <c r="N955" s="224" t="s">
        <v>225</v>
      </c>
      <c r="O955" s="224" t="s">
        <v>125</v>
      </c>
    </row>
    <row r="956" spans="1:15" x14ac:dyDescent="0.25">
      <c r="A956" s="223" t="s">
        <v>4695</v>
      </c>
      <c r="B956" s="224" t="s">
        <v>90</v>
      </c>
      <c r="C956" s="224" t="s">
        <v>648</v>
      </c>
      <c r="D956" s="225" t="s">
        <v>41</v>
      </c>
      <c r="E956" s="224" t="s">
        <v>41</v>
      </c>
      <c r="F956" s="224" t="s">
        <v>226</v>
      </c>
      <c r="G956" s="224" t="s">
        <v>117</v>
      </c>
      <c r="H956" s="224" t="s">
        <v>119</v>
      </c>
      <c r="I956" s="224" t="s">
        <v>224</v>
      </c>
      <c r="J956" s="226"/>
      <c r="K956" s="226"/>
      <c r="L956" s="226">
        <v>1200000</v>
      </c>
      <c r="M956" s="226">
        <v>1200000</v>
      </c>
      <c r="N956" s="224" t="s">
        <v>225</v>
      </c>
      <c r="O956" s="224" t="s">
        <v>125</v>
      </c>
    </row>
    <row r="957" spans="1:15" x14ac:dyDescent="0.25">
      <c r="A957" s="223" t="s">
        <v>4695</v>
      </c>
      <c r="B957" s="224" t="s">
        <v>90</v>
      </c>
      <c r="C957" s="224" t="s">
        <v>648</v>
      </c>
      <c r="D957" s="225" t="s">
        <v>41</v>
      </c>
      <c r="E957" s="224" t="s">
        <v>41</v>
      </c>
      <c r="F957" s="224" t="s">
        <v>226</v>
      </c>
      <c r="G957" s="224" t="s">
        <v>117</v>
      </c>
      <c r="H957" s="224" t="s">
        <v>231</v>
      </c>
      <c r="I957" s="224" t="s">
        <v>224</v>
      </c>
      <c r="J957" s="226"/>
      <c r="K957" s="226"/>
      <c r="L957" s="226">
        <v>1000000</v>
      </c>
      <c r="M957" s="226">
        <v>1000000</v>
      </c>
      <c r="N957" s="224" t="s">
        <v>225</v>
      </c>
      <c r="O957" s="224" t="s">
        <v>125</v>
      </c>
    </row>
    <row r="958" spans="1:15" x14ac:dyDescent="0.25">
      <c r="A958" s="223" t="s">
        <v>4695</v>
      </c>
      <c r="B958" s="224" t="s">
        <v>90</v>
      </c>
      <c r="C958" s="224" t="s">
        <v>648</v>
      </c>
      <c r="D958" s="225" t="s">
        <v>41</v>
      </c>
      <c r="E958" s="224" t="s">
        <v>41</v>
      </c>
      <c r="F958" s="224" t="s">
        <v>226</v>
      </c>
      <c r="G958" s="224" t="s">
        <v>117</v>
      </c>
      <c r="H958" s="224" t="s">
        <v>231</v>
      </c>
      <c r="I958" s="224" t="s">
        <v>224</v>
      </c>
      <c r="J958" s="226"/>
      <c r="K958" s="226"/>
      <c r="L958" s="226">
        <v>1000000</v>
      </c>
      <c r="M958" s="226">
        <v>1000000</v>
      </c>
      <c r="N958" s="224" t="s">
        <v>225</v>
      </c>
      <c r="O958" s="224" t="s">
        <v>125</v>
      </c>
    </row>
    <row r="959" spans="1:15" x14ac:dyDescent="0.25">
      <c r="A959" s="223" t="s">
        <v>4695</v>
      </c>
      <c r="B959" s="224" t="s">
        <v>90</v>
      </c>
      <c r="C959" s="224" t="s">
        <v>648</v>
      </c>
      <c r="D959" s="225" t="s">
        <v>41</v>
      </c>
      <c r="E959" s="224" t="s">
        <v>41</v>
      </c>
      <c r="F959" s="224" t="s">
        <v>226</v>
      </c>
      <c r="G959" s="224" t="s">
        <v>212</v>
      </c>
      <c r="H959" s="224" t="s">
        <v>213</v>
      </c>
      <c r="I959" s="224" t="s">
        <v>224</v>
      </c>
      <c r="J959" s="226"/>
      <c r="K959" s="226"/>
      <c r="L959" s="226">
        <v>1000000</v>
      </c>
      <c r="M959" s="226">
        <v>1000000</v>
      </c>
      <c r="N959" s="224" t="s">
        <v>225</v>
      </c>
      <c r="O959" s="224" t="s">
        <v>125</v>
      </c>
    </row>
    <row r="960" spans="1:15" x14ac:dyDescent="0.25">
      <c r="A960" s="221" t="s">
        <v>4695</v>
      </c>
      <c r="B960" s="221" t="s">
        <v>18</v>
      </c>
      <c r="C960" s="221" t="s">
        <v>648</v>
      </c>
      <c r="D960" s="221" t="s">
        <v>648</v>
      </c>
      <c r="E960" s="221" t="s">
        <v>684</v>
      </c>
      <c r="F960" s="221" t="s">
        <v>684</v>
      </c>
      <c r="G960" s="224" t="s">
        <v>2345</v>
      </c>
      <c r="H960" s="221" t="s">
        <v>689</v>
      </c>
      <c r="I960" s="221" t="s">
        <v>652</v>
      </c>
      <c r="J960" s="226"/>
      <c r="K960" s="226"/>
      <c r="L960" s="222">
        <v>999428</v>
      </c>
      <c r="M960" s="222">
        <v>999428</v>
      </c>
      <c r="N960" s="221" t="s">
        <v>225</v>
      </c>
      <c r="O960" s="221" t="s">
        <v>125</v>
      </c>
    </row>
    <row r="961" spans="1:15" x14ac:dyDescent="0.25">
      <c r="A961" s="221" t="s">
        <v>4695</v>
      </c>
      <c r="B961" s="221" t="s">
        <v>18</v>
      </c>
      <c r="C961" s="221" t="s">
        <v>648</v>
      </c>
      <c r="D961" s="221" t="s">
        <v>648</v>
      </c>
      <c r="E961" s="221" t="s">
        <v>715</v>
      </c>
      <c r="F961" s="221" t="s">
        <v>446</v>
      </c>
      <c r="G961" s="224" t="s">
        <v>2345</v>
      </c>
      <c r="H961" s="221" t="s">
        <v>716</v>
      </c>
      <c r="I961" s="221" t="s">
        <v>652</v>
      </c>
      <c r="J961" s="226"/>
      <c r="K961" s="226"/>
      <c r="L961" s="222">
        <v>940741</v>
      </c>
      <c r="M961" s="222">
        <v>940741</v>
      </c>
      <c r="N961" s="221" t="s">
        <v>4690</v>
      </c>
      <c r="O961" s="221" t="s">
        <v>125</v>
      </c>
    </row>
    <row r="962" spans="1:15" x14ac:dyDescent="0.25">
      <c r="A962" s="221" t="s">
        <v>4695</v>
      </c>
      <c r="B962" s="221" t="s">
        <v>18</v>
      </c>
      <c r="C962" s="221" t="s">
        <v>648</v>
      </c>
      <c r="D962" s="221" t="s">
        <v>648</v>
      </c>
      <c r="E962" s="221" t="s">
        <v>684</v>
      </c>
      <c r="F962" s="221" t="s">
        <v>684</v>
      </c>
      <c r="G962" s="224" t="s">
        <v>2345</v>
      </c>
      <c r="H962" s="221" t="s">
        <v>717</v>
      </c>
      <c r="I962" s="221" t="s">
        <v>652</v>
      </c>
      <c r="J962" s="226"/>
      <c r="K962" s="226"/>
      <c r="L962" s="222">
        <v>932500</v>
      </c>
      <c r="M962" s="222">
        <v>932500</v>
      </c>
      <c r="N962" s="221" t="s">
        <v>4690</v>
      </c>
      <c r="O962" s="221" t="s">
        <v>125</v>
      </c>
    </row>
    <row r="963" spans="1:15" x14ac:dyDescent="0.25">
      <c r="A963" s="223" t="s">
        <v>4695</v>
      </c>
      <c r="B963" s="224" t="s">
        <v>90</v>
      </c>
      <c r="C963" s="224" t="s">
        <v>648</v>
      </c>
      <c r="D963" s="225" t="s">
        <v>41</v>
      </c>
      <c r="E963" s="224" t="s">
        <v>41</v>
      </c>
      <c r="F963" s="224" t="s">
        <v>226</v>
      </c>
      <c r="G963" s="224" t="s">
        <v>117</v>
      </c>
      <c r="H963" s="224" t="s">
        <v>119</v>
      </c>
      <c r="I963" s="224" t="s">
        <v>224</v>
      </c>
      <c r="J963" s="226"/>
      <c r="K963" s="226"/>
      <c r="L963" s="226">
        <v>900000</v>
      </c>
      <c r="M963" s="226">
        <v>900000</v>
      </c>
      <c r="N963" s="224" t="s">
        <v>225</v>
      </c>
      <c r="O963" s="224" t="s">
        <v>125</v>
      </c>
    </row>
    <row r="964" spans="1:15" x14ac:dyDescent="0.25">
      <c r="A964" s="223" t="s">
        <v>4695</v>
      </c>
      <c r="B964" s="224" t="s">
        <v>90</v>
      </c>
      <c r="C964" s="224" t="s">
        <v>648</v>
      </c>
      <c r="D964" s="225" t="s">
        <v>41</v>
      </c>
      <c r="E964" s="224" t="s">
        <v>41</v>
      </c>
      <c r="F964" s="224" t="s">
        <v>226</v>
      </c>
      <c r="G964" s="224" t="s">
        <v>117</v>
      </c>
      <c r="H964" s="224" t="s">
        <v>119</v>
      </c>
      <c r="I964" s="224" t="s">
        <v>224</v>
      </c>
      <c r="J964" s="226"/>
      <c r="K964" s="226"/>
      <c r="L964" s="226">
        <v>900000</v>
      </c>
      <c r="M964" s="226">
        <v>900000</v>
      </c>
      <c r="N964" s="224" t="s">
        <v>225</v>
      </c>
      <c r="O964" s="224" t="s">
        <v>125</v>
      </c>
    </row>
    <row r="965" spans="1:15" x14ac:dyDescent="0.25">
      <c r="A965" s="223" t="s">
        <v>4695</v>
      </c>
      <c r="B965" s="224" t="s">
        <v>90</v>
      </c>
      <c r="C965" s="224" t="s">
        <v>648</v>
      </c>
      <c r="D965" s="225" t="s">
        <v>41</v>
      </c>
      <c r="E965" s="224" t="s">
        <v>41</v>
      </c>
      <c r="F965" s="224" t="s">
        <v>226</v>
      </c>
      <c r="G965" s="224" t="s">
        <v>212</v>
      </c>
      <c r="H965" s="224" t="s">
        <v>213</v>
      </c>
      <c r="I965" s="224" t="s">
        <v>224</v>
      </c>
      <c r="J965" s="226"/>
      <c r="K965" s="226"/>
      <c r="L965" s="226">
        <v>900000</v>
      </c>
      <c r="M965" s="226">
        <v>900000</v>
      </c>
      <c r="N965" s="224" t="s">
        <v>225</v>
      </c>
      <c r="O965" s="224" t="s">
        <v>125</v>
      </c>
    </row>
    <row r="966" spans="1:15" x14ac:dyDescent="0.25">
      <c r="A966" s="221" t="s">
        <v>4695</v>
      </c>
      <c r="B966" s="221" t="s">
        <v>18</v>
      </c>
      <c r="C966" s="221" t="s">
        <v>648</v>
      </c>
      <c r="D966" s="221" t="s">
        <v>648</v>
      </c>
      <c r="E966" s="221" t="s">
        <v>684</v>
      </c>
      <c r="F966" s="221" t="s">
        <v>684</v>
      </c>
      <c r="G966" s="224" t="s">
        <v>2345</v>
      </c>
      <c r="H966" s="221" t="s">
        <v>714</v>
      </c>
      <c r="I966" s="221" t="s">
        <v>652</v>
      </c>
      <c r="J966" s="226"/>
      <c r="K966" s="226"/>
      <c r="L966" s="222">
        <v>850000</v>
      </c>
      <c r="M966" s="222">
        <v>850000</v>
      </c>
      <c r="N966" s="221" t="s">
        <v>225</v>
      </c>
      <c r="O966" s="221" t="s">
        <v>125</v>
      </c>
    </row>
    <row r="967" spans="1:15" x14ac:dyDescent="0.25">
      <c r="A967" s="223" t="s">
        <v>4695</v>
      </c>
      <c r="B967" s="224" t="s">
        <v>90</v>
      </c>
      <c r="C967" s="224" t="s">
        <v>648</v>
      </c>
      <c r="D967" s="225" t="s">
        <v>41</v>
      </c>
      <c r="E967" s="224" t="s">
        <v>41</v>
      </c>
      <c r="F967" s="224" t="s">
        <v>226</v>
      </c>
      <c r="G967" s="224" t="s">
        <v>117</v>
      </c>
      <c r="H967" s="224" t="s">
        <v>119</v>
      </c>
      <c r="I967" s="224" t="s">
        <v>224</v>
      </c>
      <c r="J967" s="226"/>
      <c r="K967" s="226"/>
      <c r="L967" s="226">
        <v>800000</v>
      </c>
      <c r="M967" s="226">
        <v>800000</v>
      </c>
      <c r="N967" s="224" t="s">
        <v>225</v>
      </c>
      <c r="O967" s="224" t="s">
        <v>125</v>
      </c>
    </row>
    <row r="968" spans="1:15" x14ac:dyDescent="0.25">
      <c r="A968" s="223" t="s">
        <v>4695</v>
      </c>
      <c r="B968" s="224" t="s">
        <v>90</v>
      </c>
      <c r="C968" s="224" t="s">
        <v>648</v>
      </c>
      <c r="D968" s="225" t="s">
        <v>41</v>
      </c>
      <c r="E968" s="224" t="s">
        <v>41</v>
      </c>
      <c r="F968" s="224" t="s">
        <v>226</v>
      </c>
      <c r="G968" s="224" t="s">
        <v>212</v>
      </c>
      <c r="H968" s="224" t="s">
        <v>213</v>
      </c>
      <c r="I968" s="224" t="s">
        <v>224</v>
      </c>
      <c r="J968" s="226"/>
      <c r="K968" s="226"/>
      <c r="L968" s="226">
        <v>800000</v>
      </c>
      <c r="M968" s="226">
        <v>800000</v>
      </c>
      <c r="N968" s="224" t="s">
        <v>225</v>
      </c>
      <c r="O968" s="224" t="s">
        <v>125</v>
      </c>
    </row>
    <row r="969" spans="1:15" x14ac:dyDescent="0.25">
      <c r="A969" s="223" t="s">
        <v>4695</v>
      </c>
      <c r="B969" s="224" t="s">
        <v>90</v>
      </c>
      <c r="C969" s="224" t="s">
        <v>648</v>
      </c>
      <c r="D969" s="225" t="s">
        <v>41</v>
      </c>
      <c r="E969" s="224" t="s">
        <v>41</v>
      </c>
      <c r="F969" s="224" t="s">
        <v>226</v>
      </c>
      <c r="G969" s="224" t="s">
        <v>212</v>
      </c>
      <c r="H969" s="224" t="s">
        <v>213</v>
      </c>
      <c r="I969" s="224" t="s">
        <v>224</v>
      </c>
      <c r="J969" s="226"/>
      <c r="K969" s="226"/>
      <c r="L969" s="226">
        <v>800000</v>
      </c>
      <c r="M969" s="226">
        <v>800000</v>
      </c>
      <c r="N969" s="224" t="s">
        <v>225</v>
      </c>
      <c r="O969" s="224" t="s">
        <v>125</v>
      </c>
    </row>
    <row r="970" spans="1:15" x14ac:dyDescent="0.25">
      <c r="A970" s="223" t="s">
        <v>4695</v>
      </c>
      <c r="B970" s="224" t="s">
        <v>90</v>
      </c>
      <c r="C970" s="224" t="s">
        <v>648</v>
      </c>
      <c r="D970" s="225" t="s">
        <v>41</v>
      </c>
      <c r="E970" s="224" t="s">
        <v>41</v>
      </c>
      <c r="F970" s="224" t="s">
        <v>226</v>
      </c>
      <c r="G970" s="224" t="s">
        <v>117</v>
      </c>
      <c r="H970" s="224" t="s">
        <v>119</v>
      </c>
      <c r="I970" s="224" t="s">
        <v>224</v>
      </c>
      <c r="J970" s="226"/>
      <c r="K970" s="226"/>
      <c r="L970" s="226">
        <v>751000</v>
      </c>
      <c r="M970" s="226">
        <v>751000</v>
      </c>
      <c r="N970" s="224" t="s">
        <v>225</v>
      </c>
      <c r="O970" s="224" t="s">
        <v>125</v>
      </c>
    </row>
    <row r="971" spans="1:15" x14ac:dyDescent="0.25">
      <c r="A971" s="223" t="s">
        <v>4695</v>
      </c>
      <c r="B971" s="224" t="s">
        <v>90</v>
      </c>
      <c r="C971" s="224" t="s">
        <v>648</v>
      </c>
      <c r="D971" s="225" t="s">
        <v>41</v>
      </c>
      <c r="E971" s="224" t="s">
        <v>41</v>
      </c>
      <c r="F971" s="224" t="s">
        <v>226</v>
      </c>
      <c r="G971" s="224" t="s">
        <v>117</v>
      </c>
      <c r="H971" s="224" t="s">
        <v>231</v>
      </c>
      <c r="I971" s="224" t="s">
        <v>224</v>
      </c>
      <c r="J971" s="226"/>
      <c r="K971" s="226"/>
      <c r="L971" s="226">
        <v>750001</v>
      </c>
      <c r="M971" s="226">
        <v>750001</v>
      </c>
      <c r="N971" s="224" t="s">
        <v>225</v>
      </c>
      <c r="O971" s="224" t="s">
        <v>125</v>
      </c>
    </row>
    <row r="972" spans="1:15" x14ac:dyDescent="0.25">
      <c r="A972" s="223" t="s">
        <v>4695</v>
      </c>
      <c r="B972" s="224" t="s">
        <v>90</v>
      </c>
      <c r="C972" s="224" t="s">
        <v>648</v>
      </c>
      <c r="D972" s="225" t="s">
        <v>41</v>
      </c>
      <c r="E972" s="224" t="s">
        <v>41</v>
      </c>
      <c r="F972" s="224" t="s">
        <v>226</v>
      </c>
      <c r="G972" s="224" t="s">
        <v>117</v>
      </c>
      <c r="H972" s="224" t="s">
        <v>119</v>
      </c>
      <c r="I972" s="224" t="s">
        <v>224</v>
      </c>
      <c r="J972" s="226"/>
      <c r="K972" s="226"/>
      <c r="L972" s="226">
        <v>750001</v>
      </c>
      <c r="M972" s="226">
        <v>750001</v>
      </c>
      <c r="N972" s="224" t="s">
        <v>225</v>
      </c>
      <c r="O972" s="224" t="s">
        <v>125</v>
      </c>
    </row>
    <row r="973" spans="1:15" x14ac:dyDescent="0.25">
      <c r="A973" s="223" t="s">
        <v>4695</v>
      </c>
      <c r="B973" s="224" t="s">
        <v>90</v>
      </c>
      <c r="C973" s="224" t="s">
        <v>648</v>
      </c>
      <c r="D973" s="225" t="s">
        <v>41</v>
      </c>
      <c r="E973" s="224" t="s">
        <v>41</v>
      </c>
      <c r="F973" s="224" t="s">
        <v>226</v>
      </c>
      <c r="G973" s="224" t="s">
        <v>117</v>
      </c>
      <c r="H973" s="224" t="s">
        <v>231</v>
      </c>
      <c r="I973" s="224" t="s">
        <v>224</v>
      </c>
      <c r="J973" s="226"/>
      <c r="K973" s="226"/>
      <c r="L973" s="226">
        <v>750000</v>
      </c>
      <c r="M973" s="226">
        <v>750000</v>
      </c>
      <c r="N973" s="224" t="s">
        <v>225</v>
      </c>
      <c r="O973" s="224" t="s">
        <v>125</v>
      </c>
    </row>
    <row r="974" spans="1:15" x14ac:dyDescent="0.25">
      <c r="A974" s="223" t="s">
        <v>4695</v>
      </c>
      <c r="B974" s="224" t="s">
        <v>90</v>
      </c>
      <c r="C974" s="224" t="s">
        <v>648</v>
      </c>
      <c r="D974" s="225" t="s">
        <v>41</v>
      </c>
      <c r="E974" s="224" t="s">
        <v>41</v>
      </c>
      <c r="F974" s="224" t="s">
        <v>226</v>
      </c>
      <c r="G974" s="224" t="s">
        <v>212</v>
      </c>
      <c r="H974" s="224" t="s">
        <v>213</v>
      </c>
      <c r="I974" s="224" t="s">
        <v>224</v>
      </c>
      <c r="J974" s="226"/>
      <c r="K974" s="226"/>
      <c r="L974" s="226">
        <v>750000</v>
      </c>
      <c r="M974" s="226">
        <v>750000</v>
      </c>
      <c r="N974" s="224" t="s">
        <v>225</v>
      </c>
      <c r="O974" s="224" t="s">
        <v>125</v>
      </c>
    </row>
    <row r="975" spans="1:15" x14ac:dyDescent="0.25">
      <c r="A975" s="223" t="s">
        <v>4695</v>
      </c>
      <c r="B975" s="224" t="s">
        <v>90</v>
      </c>
      <c r="C975" s="224" t="s">
        <v>648</v>
      </c>
      <c r="D975" s="225" t="s">
        <v>41</v>
      </c>
      <c r="E975" s="224" t="s">
        <v>41</v>
      </c>
      <c r="F975" s="224" t="s">
        <v>226</v>
      </c>
      <c r="G975" s="224" t="s">
        <v>117</v>
      </c>
      <c r="H975" s="224" t="s">
        <v>119</v>
      </c>
      <c r="I975" s="224" t="s">
        <v>224</v>
      </c>
      <c r="J975" s="226"/>
      <c r="K975" s="226"/>
      <c r="L975" s="226">
        <v>650000</v>
      </c>
      <c r="M975" s="226">
        <v>650000</v>
      </c>
      <c r="N975" s="224" t="s">
        <v>225</v>
      </c>
      <c r="O975" s="224" t="s">
        <v>125</v>
      </c>
    </row>
    <row r="976" spans="1:15" x14ac:dyDescent="0.25">
      <c r="A976" s="223" t="s">
        <v>4695</v>
      </c>
      <c r="B976" s="224" t="s">
        <v>90</v>
      </c>
      <c r="C976" s="224" t="s">
        <v>648</v>
      </c>
      <c r="D976" s="225" t="s">
        <v>41</v>
      </c>
      <c r="E976" s="224" t="s">
        <v>41</v>
      </c>
      <c r="F976" s="224" t="s">
        <v>226</v>
      </c>
      <c r="G976" s="224" t="s">
        <v>117</v>
      </c>
      <c r="H976" s="224" t="s">
        <v>119</v>
      </c>
      <c r="I976" s="224" t="s">
        <v>224</v>
      </c>
      <c r="J976" s="226"/>
      <c r="K976" s="226"/>
      <c r="L976" s="226">
        <v>600000</v>
      </c>
      <c r="M976" s="226">
        <v>600000</v>
      </c>
      <c r="N976" s="224" t="s">
        <v>225</v>
      </c>
      <c r="O976" s="224" t="s">
        <v>125</v>
      </c>
    </row>
    <row r="977" spans="1:15" x14ac:dyDescent="0.25">
      <c r="A977" s="221" t="s">
        <v>4695</v>
      </c>
      <c r="B977" s="221" t="s">
        <v>18</v>
      </c>
      <c r="C977" s="221" t="s">
        <v>648</v>
      </c>
      <c r="D977" s="221" t="s">
        <v>648</v>
      </c>
      <c r="E977" s="221" t="s">
        <v>649</v>
      </c>
      <c r="F977" s="221" t="s">
        <v>41</v>
      </c>
      <c r="G977" s="224" t="s">
        <v>2345</v>
      </c>
      <c r="H977" s="221" t="s">
        <v>689</v>
      </c>
      <c r="I977" s="221" t="s">
        <v>652</v>
      </c>
      <c r="J977" s="226"/>
      <c r="K977" s="226"/>
      <c r="L977" s="222">
        <v>535128</v>
      </c>
      <c r="M977" s="222">
        <v>535128</v>
      </c>
      <c r="N977" s="221" t="s">
        <v>225</v>
      </c>
      <c r="O977" s="221" t="s">
        <v>125</v>
      </c>
    </row>
    <row r="978" spans="1:15" x14ac:dyDescent="0.25">
      <c r="A978" s="223" t="s">
        <v>4695</v>
      </c>
      <c r="B978" s="224" t="s">
        <v>90</v>
      </c>
      <c r="C978" s="224" t="s">
        <v>648</v>
      </c>
      <c r="D978" s="225" t="s">
        <v>41</v>
      </c>
      <c r="E978" s="224" t="s">
        <v>41</v>
      </c>
      <c r="F978" s="224" t="s">
        <v>226</v>
      </c>
      <c r="G978" s="224" t="s">
        <v>117</v>
      </c>
      <c r="H978" s="224" t="s">
        <v>119</v>
      </c>
      <c r="I978" s="224" t="s">
        <v>224</v>
      </c>
      <c r="J978" s="226"/>
      <c r="K978" s="226"/>
      <c r="L978" s="226">
        <v>500000</v>
      </c>
      <c r="M978" s="226">
        <v>500000</v>
      </c>
      <c r="N978" s="224" t="s">
        <v>225</v>
      </c>
      <c r="O978" s="224" t="s">
        <v>125</v>
      </c>
    </row>
    <row r="979" spans="1:15" x14ac:dyDescent="0.25">
      <c r="A979" s="223" t="s">
        <v>4695</v>
      </c>
      <c r="B979" s="224" t="s">
        <v>90</v>
      </c>
      <c r="C979" s="224" t="s">
        <v>648</v>
      </c>
      <c r="D979" s="225" t="s">
        <v>41</v>
      </c>
      <c r="E979" s="224" t="s">
        <v>41</v>
      </c>
      <c r="F979" s="224" t="s">
        <v>226</v>
      </c>
      <c r="G979" s="224" t="s">
        <v>117</v>
      </c>
      <c r="H979" s="224" t="s">
        <v>119</v>
      </c>
      <c r="I979" s="224" t="s">
        <v>224</v>
      </c>
      <c r="J979" s="226"/>
      <c r="K979" s="226"/>
      <c r="L979" s="226">
        <v>500000</v>
      </c>
      <c r="M979" s="226">
        <v>500000</v>
      </c>
      <c r="N979" s="224" t="s">
        <v>225</v>
      </c>
      <c r="O979" s="224" t="s">
        <v>125</v>
      </c>
    </row>
    <row r="980" spans="1:15" x14ac:dyDescent="0.25">
      <c r="A980" s="223" t="s">
        <v>4695</v>
      </c>
      <c r="B980" s="224" t="s">
        <v>90</v>
      </c>
      <c r="C980" s="224" t="s">
        <v>648</v>
      </c>
      <c r="D980" s="225" t="s">
        <v>41</v>
      </c>
      <c r="E980" s="224" t="s">
        <v>41</v>
      </c>
      <c r="F980" s="224" t="s">
        <v>226</v>
      </c>
      <c r="G980" s="224" t="s">
        <v>212</v>
      </c>
      <c r="H980" s="224" t="s">
        <v>213</v>
      </c>
      <c r="I980" s="224" t="s">
        <v>224</v>
      </c>
      <c r="J980" s="226"/>
      <c r="K980" s="226"/>
      <c r="L980" s="226">
        <v>500000</v>
      </c>
      <c r="M980" s="226">
        <v>500000</v>
      </c>
      <c r="N980" s="224" t="s">
        <v>225</v>
      </c>
      <c r="O980" s="224" t="s">
        <v>125</v>
      </c>
    </row>
    <row r="981" spans="1:15" x14ac:dyDescent="0.25">
      <c r="A981" s="223" t="s">
        <v>4695</v>
      </c>
      <c r="B981" s="224" t="s">
        <v>90</v>
      </c>
      <c r="C981" s="224" t="s">
        <v>648</v>
      </c>
      <c r="D981" s="225" t="s">
        <v>41</v>
      </c>
      <c r="E981" s="224" t="s">
        <v>41</v>
      </c>
      <c r="F981" s="224" t="s">
        <v>226</v>
      </c>
      <c r="G981" s="224" t="s">
        <v>212</v>
      </c>
      <c r="H981" s="224" t="s">
        <v>213</v>
      </c>
      <c r="I981" s="224" t="s">
        <v>224</v>
      </c>
      <c r="J981" s="226"/>
      <c r="K981" s="226"/>
      <c r="L981" s="226">
        <v>500000</v>
      </c>
      <c r="M981" s="226">
        <v>500000</v>
      </c>
      <c r="N981" s="224" t="s">
        <v>225</v>
      </c>
      <c r="O981" s="224" t="s">
        <v>125</v>
      </c>
    </row>
    <row r="982" spans="1:15" x14ac:dyDescent="0.25">
      <c r="A982" s="223" t="s">
        <v>4695</v>
      </c>
      <c r="B982" s="224" t="s">
        <v>90</v>
      </c>
      <c r="C982" s="224" t="s">
        <v>648</v>
      </c>
      <c r="D982" s="225" t="s">
        <v>41</v>
      </c>
      <c r="E982" s="224" t="s">
        <v>41</v>
      </c>
      <c r="F982" s="224" t="s">
        <v>226</v>
      </c>
      <c r="G982" s="224" t="s">
        <v>177</v>
      </c>
      <c r="H982" s="224" t="s">
        <v>178</v>
      </c>
      <c r="I982" s="224" t="s">
        <v>224</v>
      </c>
      <c r="J982" s="226"/>
      <c r="K982" s="226"/>
      <c r="L982" s="226">
        <v>499996</v>
      </c>
      <c r="M982" s="226">
        <v>499996</v>
      </c>
      <c r="N982" s="224" t="s">
        <v>225</v>
      </c>
      <c r="O982" s="224" t="s">
        <v>125</v>
      </c>
    </row>
    <row r="983" spans="1:15" x14ac:dyDescent="0.25">
      <c r="A983" s="223" t="s">
        <v>4695</v>
      </c>
      <c r="B983" s="224" t="s">
        <v>90</v>
      </c>
      <c r="C983" s="224" t="s">
        <v>648</v>
      </c>
      <c r="D983" s="225" t="s">
        <v>41</v>
      </c>
      <c r="E983" s="224" t="s">
        <v>41</v>
      </c>
      <c r="F983" s="224" t="s">
        <v>226</v>
      </c>
      <c r="G983" s="224" t="s">
        <v>177</v>
      </c>
      <c r="H983" s="224" t="s">
        <v>178</v>
      </c>
      <c r="I983" s="224" t="s">
        <v>224</v>
      </c>
      <c r="J983" s="226"/>
      <c r="K983" s="226"/>
      <c r="L983" s="226">
        <v>462223</v>
      </c>
      <c r="M983" s="226">
        <v>462223</v>
      </c>
      <c r="N983" s="224" t="s">
        <v>225</v>
      </c>
      <c r="O983" s="224" t="s">
        <v>125</v>
      </c>
    </row>
    <row r="984" spans="1:15" x14ac:dyDescent="0.25">
      <c r="A984" s="223" t="s">
        <v>4695</v>
      </c>
      <c r="B984" s="224" t="s">
        <v>90</v>
      </c>
      <c r="C984" s="224" t="s">
        <v>648</v>
      </c>
      <c r="D984" s="225" t="s">
        <v>41</v>
      </c>
      <c r="E984" s="224" t="s">
        <v>41</v>
      </c>
      <c r="F984" s="224" t="s">
        <v>226</v>
      </c>
      <c r="G984" s="224" t="s">
        <v>117</v>
      </c>
      <c r="H984" s="224" t="s">
        <v>119</v>
      </c>
      <c r="I984" s="224" t="s">
        <v>224</v>
      </c>
      <c r="J984" s="226"/>
      <c r="K984" s="226"/>
      <c r="L984" s="226">
        <v>400000</v>
      </c>
      <c r="M984" s="226">
        <v>400000</v>
      </c>
      <c r="N984" s="224" t="s">
        <v>225</v>
      </c>
      <c r="O984" s="224" t="s">
        <v>125</v>
      </c>
    </row>
    <row r="985" spans="1:15" x14ac:dyDescent="0.25">
      <c r="A985" s="223" t="s">
        <v>4695</v>
      </c>
      <c r="B985" s="224" t="s">
        <v>90</v>
      </c>
      <c r="C985" s="224" t="s">
        <v>648</v>
      </c>
      <c r="D985" s="225" t="s">
        <v>41</v>
      </c>
      <c r="E985" s="224" t="s">
        <v>41</v>
      </c>
      <c r="F985" s="224" t="s">
        <v>226</v>
      </c>
      <c r="G985" s="224" t="s">
        <v>117</v>
      </c>
      <c r="H985" s="224" t="s">
        <v>119</v>
      </c>
      <c r="I985" s="224" t="s">
        <v>224</v>
      </c>
      <c r="J985" s="226"/>
      <c r="K985" s="226"/>
      <c r="L985" s="226">
        <v>400000</v>
      </c>
      <c r="M985" s="226">
        <v>400000</v>
      </c>
      <c r="N985" s="224" t="s">
        <v>225</v>
      </c>
      <c r="O985" s="224" t="s">
        <v>125</v>
      </c>
    </row>
    <row r="986" spans="1:15" x14ac:dyDescent="0.25">
      <c r="A986" s="223" t="s">
        <v>4695</v>
      </c>
      <c r="B986" s="224" t="s">
        <v>90</v>
      </c>
      <c r="C986" s="224" t="s">
        <v>648</v>
      </c>
      <c r="D986" s="225" t="s">
        <v>41</v>
      </c>
      <c r="E986" s="224" t="s">
        <v>41</v>
      </c>
      <c r="F986" s="224" t="s">
        <v>226</v>
      </c>
      <c r="G986" s="224" t="s">
        <v>212</v>
      </c>
      <c r="H986" s="224" t="s">
        <v>213</v>
      </c>
      <c r="I986" s="224" t="s">
        <v>224</v>
      </c>
      <c r="J986" s="226"/>
      <c r="K986" s="226"/>
      <c r="L986" s="226">
        <v>400000</v>
      </c>
      <c r="M986" s="226">
        <v>400000</v>
      </c>
      <c r="N986" s="224" t="s">
        <v>225</v>
      </c>
      <c r="O986" s="224" t="s">
        <v>125</v>
      </c>
    </row>
    <row r="987" spans="1:15" x14ac:dyDescent="0.25">
      <c r="A987" s="223" t="s">
        <v>4695</v>
      </c>
      <c r="B987" s="224" t="s">
        <v>90</v>
      </c>
      <c r="C987" s="224" t="s">
        <v>648</v>
      </c>
      <c r="D987" s="225" t="s">
        <v>41</v>
      </c>
      <c r="E987" s="224" t="s">
        <v>41</v>
      </c>
      <c r="F987" s="224" t="s">
        <v>226</v>
      </c>
      <c r="G987" s="224" t="s">
        <v>212</v>
      </c>
      <c r="H987" s="224" t="s">
        <v>213</v>
      </c>
      <c r="I987" s="224" t="s">
        <v>224</v>
      </c>
      <c r="J987" s="226"/>
      <c r="K987" s="226"/>
      <c r="L987" s="226">
        <v>400000</v>
      </c>
      <c r="M987" s="226">
        <v>400000</v>
      </c>
      <c r="N987" s="224" t="s">
        <v>225</v>
      </c>
      <c r="O987" s="224" t="s">
        <v>125</v>
      </c>
    </row>
    <row r="988" spans="1:15" x14ac:dyDescent="0.25">
      <c r="A988" s="223" t="s">
        <v>4695</v>
      </c>
      <c r="B988" s="224" t="s">
        <v>90</v>
      </c>
      <c r="C988" s="224" t="s">
        <v>648</v>
      </c>
      <c r="D988" s="225" t="s">
        <v>41</v>
      </c>
      <c r="E988" s="224" t="s">
        <v>41</v>
      </c>
      <c r="F988" s="224" t="s">
        <v>226</v>
      </c>
      <c r="G988" s="224" t="s">
        <v>2345</v>
      </c>
      <c r="H988" s="224" t="s">
        <v>227</v>
      </c>
      <c r="I988" s="224" t="s">
        <v>224</v>
      </c>
      <c r="J988" s="226"/>
      <c r="K988" s="226"/>
      <c r="L988" s="226">
        <v>376399</v>
      </c>
      <c r="M988" s="226">
        <v>376399</v>
      </c>
      <c r="N988" s="224" t="s">
        <v>225</v>
      </c>
      <c r="O988" s="224" t="s">
        <v>125</v>
      </c>
    </row>
    <row r="989" spans="1:15" x14ac:dyDescent="0.25">
      <c r="A989" s="223" t="s">
        <v>4695</v>
      </c>
      <c r="B989" s="224" t="s">
        <v>90</v>
      </c>
      <c r="C989" s="224" t="s">
        <v>648</v>
      </c>
      <c r="D989" s="225" t="s">
        <v>41</v>
      </c>
      <c r="E989" s="224" t="s">
        <v>41</v>
      </c>
      <c r="F989" s="224" t="s">
        <v>226</v>
      </c>
      <c r="G989" s="224" t="s">
        <v>117</v>
      </c>
      <c r="H989" s="224" t="s">
        <v>119</v>
      </c>
      <c r="I989" s="224" t="s">
        <v>224</v>
      </c>
      <c r="J989" s="226"/>
      <c r="K989" s="226"/>
      <c r="L989" s="226">
        <v>375000</v>
      </c>
      <c r="M989" s="226">
        <v>375000</v>
      </c>
      <c r="N989" s="224" t="s">
        <v>225</v>
      </c>
      <c r="O989" s="224" t="s">
        <v>125</v>
      </c>
    </row>
    <row r="990" spans="1:15" x14ac:dyDescent="0.25">
      <c r="A990" s="223" t="s">
        <v>4695</v>
      </c>
      <c r="B990" s="224" t="s">
        <v>90</v>
      </c>
      <c r="C990" s="224" t="s">
        <v>648</v>
      </c>
      <c r="D990" s="225" t="s">
        <v>41</v>
      </c>
      <c r="E990" s="224" t="s">
        <v>41</v>
      </c>
      <c r="F990" s="224" t="s">
        <v>226</v>
      </c>
      <c r="G990" s="224" t="s">
        <v>212</v>
      </c>
      <c r="H990" s="224" t="s">
        <v>213</v>
      </c>
      <c r="I990" s="224" t="s">
        <v>224</v>
      </c>
      <c r="J990" s="226"/>
      <c r="K990" s="226"/>
      <c r="L990" s="226">
        <v>360000</v>
      </c>
      <c r="M990" s="226">
        <v>360000</v>
      </c>
      <c r="N990" s="224" t="s">
        <v>225</v>
      </c>
      <c r="O990" s="224" t="s">
        <v>125</v>
      </c>
    </row>
    <row r="991" spans="1:15" ht="15.75" x14ac:dyDescent="0.25">
      <c r="A991" s="224" t="s">
        <v>4695</v>
      </c>
      <c r="B991" s="227" t="s">
        <v>90</v>
      </c>
      <c r="C991" s="224" t="s">
        <v>648</v>
      </c>
      <c r="D991" s="227" t="s">
        <v>91</v>
      </c>
      <c r="E991" s="227" t="s">
        <v>41</v>
      </c>
      <c r="F991" s="227" t="s">
        <v>109</v>
      </c>
      <c r="G991" s="224" t="s">
        <v>2345</v>
      </c>
      <c r="H991" s="227" t="s">
        <v>74</v>
      </c>
      <c r="I991" s="227" t="s">
        <v>83</v>
      </c>
      <c r="J991" s="224"/>
      <c r="K991" s="224"/>
      <c r="L991" s="233">
        <v>354277.09</v>
      </c>
      <c r="M991" s="232">
        <v>354277.09</v>
      </c>
      <c r="N991" s="224" t="s">
        <v>225</v>
      </c>
      <c r="O991" s="224" t="s">
        <v>125</v>
      </c>
    </row>
    <row r="992" spans="1:15" x14ac:dyDescent="0.25">
      <c r="A992" s="223" t="s">
        <v>4695</v>
      </c>
      <c r="B992" s="224" t="s">
        <v>90</v>
      </c>
      <c r="C992" s="224" t="s">
        <v>648</v>
      </c>
      <c r="D992" s="225" t="s">
        <v>41</v>
      </c>
      <c r="E992" s="224" t="s">
        <v>41</v>
      </c>
      <c r="F992" s="224" t="s">
        <v>226</v>
      </c>
      <c r="G992" s="224" t="s">
        <v>2345</v>
      </c>
      <c r="H992" s="224" t="s">
        <v>227</v>
      </c>
      <c r="I992" s="224" t="s">
        <v>224</v>
      </c>
      <c r="J992" s="226"/>
      <c r="K992" s="226"/>
      <c r="L992" s="226">
        <v>300000</v>
      </c>
      <c r="M992" s="226">
        <v>300000</v>
      </c>
      <c r="N992" s="224" t="s">
        <v>225</v>
      </c>
      <c r="O992" s="224" t="s">
        <v>125</v>
      </c>
    </row>
    <row r="993" spans="1:15" x14ac:dyDescent="0.25">
      <c r="A993" s="223" t="s">
        <v>4695</v>
      </c>
      <c r="B993" s="224" t="s">
        <v>90</v>
      </c>
      <c r="C993" s="224" t="s">
        <v>648</v>
      </c>
      <c r="D993" s="225" t="s">
        <v>41</v>
      </c>
      <c r="E993" s="224" t="s">
        <v>41</v>
      </c>
      <c r="F993" s="224" t="s">
        <v>226</v>
      </c>
      <c r="G993" s="224" t="s">
        <v>2345</v>
      </c>
      <c r="H993" s="224" t="s">
        <v>227</v>
      </c>
      <c r="I993" s="224" t="s">
        <v>224</v>
      </c>
      <c r="J993" s="226"/>
      <c r="K993" s="226"/>
      <c r="L993" s="226">
        <v>300000</v>
      </c>
      <c r="M993" s="226">
        <v>300000</v>
      </c>
      <c r="N993" s="224" t="s">
        <v>225</v>
      </c>
      <c r="O993" s="224" t="s">
        <v>125</v>
      </c>
    </row>
    <row r="994" spans="1:15" x14ac:dyDescent="0.25">
      <c r="A994" s="223" t="s">
        <v>4695</v>
      </c>
      <c r="B994" s="224" t="s">
        <v>90</v>
      </c>
      <c r="C994" s="224" t="s">
        <v>648</v>
      </c>
      <c r="D994" s="225" t="s">
        <v>41</v>
      </c>
      <c r="E994" s="224" t="s">
        <v>41</v>
      </c>
      <c r="F994" s="224" t="s">
        <v>226</v>
      </c>
      <c r="G994" s="224" t="s">
        <v>117</v>
      </c>
      <c r="H994" s="224" t="s">
        <v>119</v>
      </c>
      <c r="I994" s="224" t="s">
        <v>224</v>
      </c>
      <c r="J994" s="226"/>
      <c r="K994" s="226"/>
      <c r="L994" s="226">
        <v>300000</v>
      </c>
      <c r="M994" s="226">
        <v>300000</v>
      </c>
      <c r="N994" s="224" t="s">
        <v>225</v>
      </c>
      <c r="O994" s="224" t="s">
        <v>125</v>
      </c>
    </row>
    <row r="995" spans="1:15" x14ac:dyDescent="0.25">
      <c r="A995" s="223" t="s">
        <v>4695</v>
      </c>
      <c r="B995" s="224" t="s">
        <v>90</v>
      </c>
      <c r="C995" s="224" t="s">
        <v>648</v>
      </c>
      <c r="D995" s="225" t="s">
        <v>41</v>
      </c>
      <c r="E995" s="224" t="s">
        <v>41</v>
      </c>
      <c r="F995" s="224" t="s">
        <v>226</v>
      </c>
      <c r="G995" s="224" t="s">
        <v>117</v>
      </c>
      <c r="H995" s="224" t="s">
        <v>119</v>
      </c>
      <c r="I995" s="224" t="s">
        <v>224</v>
      </c>
      <c r="J995" s="226"/>
      <c r="K995" s="226"/>
      <c r="L995" s="226">
        <v>300000</v>
      </c>
      <c r="M995" s="226">
        <v>300000</v>
      </c>
      <c r="N995" s="224" t="s">
        <v>225</v>
      </c>
      <c r="O995" s="224" t="s">
        <v>125</v>
      </c>
    </row>
    <row r="996" spans="1:15" x14ac:dyDescent="0.25">
      <c r="A996" s="223" t="s">
        <v>4695</v>
      </c>
      <c r="B996" s="224" t="s">
        <v>90</v>
      </c>
      <c r="C996" s="224" t="s">
        <v>648</v>
      </c>
      <c r="D996" s="225" t="s">
        <v>41</v>
      </c>
      <c r="E996" s="224" t="s">
        <v>41</v>
      </c>
      <c r="F996" s="224" t="s">
        <v>226</v>
      </c>
      <c r="G996" s="224" t="s">
        <v>117</v>
      </c>
      <c r="H996" s="224" t="s">
        <v>119</v>
      </c>
      <c r="I996" s="224" t="s">
        <v>224</v>
      </c>
      <c r="J996" s="226"/>
      <c r="K996" s="226"/>
      <c r="L996" s="226">
        <v>300000</v>
      </c>
      <c r="M996" s="226">
        <v>300000</v>
      </c>
      <c r="N996" s="224" t="s">
        <v>225</v>
      </c>
      <c r="O996" s="224" t="s">
        <v>125</v>
      </c>
    </row>
    <row r="997" spans="1:15" x14ac:dyDescent="0.25">
      <c r="A997" s="223" t="s">
        <v>4695</v>
      </c>
      <c r="B997" s="224" t="s">
        <v>90</v>
      </c>
      <c r="C997" s="224" t="s">
        <v>648</v>
      </c>
      <c r="D997" s="225" t="s">
        <v>41</v>
      </c>
      <c r="E997" s="224" t="s">
        <v>41</v>
      </c>
      <c r="F997" s="224" t="s">
        <v>226</v>
      </c>
      <c r="G997" s="224" t="s">
        <v>212</v>
      </c>
      <c r="H997" s="224" t="s">
        <v>213</v>
      </c>
      <c r="I997" s="224" t="s">
        <v>224</v>
      </c>
      <c r="J997" s="226"/>
      <c r="K997" s="226"/>
      <c r="L997" s="226">
        <v>300000</v>
      </c>
      <c r="M997" s="226">
        <v>300000</v>
      </c>
      <c r="N997" s="224" t="s">
        <v>225</v>
      </c>
      <c r="O997" s="224" t="s">
        <v>125</v>
      </c>
    </row>
    <row r="998" spans="1:15" x14ac:dyDescent="0.25">
      <c r="A998" s="223" t="s">
        <v>4695</v>
      </c>
      <c r="B998" s="224" t="s">
        <v>90</v>
      </c>
      <c r="C998" s="224" t="s">
        <v>648</v>
      </c>
      <c r="D998" s="225" t="s">
        <v>41</v>
      </c>
      <c r="E998" s="224" t="s">
        <v>41</v>
      </c>
      <c r="F998" s="224" t="s">
        <v>226</v>
      </c>
      <c r="G998" s="224" t="s">
        <v>212</v>
      </c>
      <c r="H998" s="224" t="s">
        <v>213</v>
      </c>
      <c r="I998" s="224" t="s">
        <v>224</v>
      </c>
      <c r="J998" s="226"/>
      <c r="K998" s="226"/>
      <c r="L998" s="226">
        <v>300000</v>
      </c>
      <c r="M998" s="226">
        <v>300000</v>
      </c>
      <c r="N998" s="224" t="s">
        <v>225</v>
      </c>
      <c r="O998" s="224" t="s">
        <v>125</v>
      </c>
    </row>
    <row r="999" spans="1:15" x14ac:dyDescent="0.25">
      <c r="A999" s="223" t="s">
        <v>4695</v>
      </c>
      <c r="B999" s="224" t="s">
        <v>90</v>
      </c>
      <c r="C999" s="224" t="s">
        <v>648</v>
      </c>
      <c r="D999" s="225" t="s">
        <v>41</v>
      </c>
      <c r="E999" s="224" t="s">
        <v>41</v>
      </c>
      <c r="F999" s="224" t="s">
        <v>226</v>
      </c>
      <c r="G999" s="224" t="s">
        <v>212</v>
      </c>
      <c r="H999" s="224" t="s">
        <v>213</v>
      </c>
      <c r="I999" s="224" t="s">
        <v>224</v>
      </c>
      <c r="J999" s="226"/>
      <c r="K999" s="226"/>
      <c r="L999" s="226">
        <v>300000</v>
      </c>
      <c r="M999" s="226">
        <v>300000</v>
      </c>
      <c r="N999" s="224" t="s">
        <v>225</v>
      </c>
      <c r="O999" s="224" t="s">
        <v>125</v>
      </c>
    </row>
    <row r="1000" spans="1:15" x14ac:dyDescent="0.25">
      <c r="A1000" s="223" t="s">
        <v>4695</v>
      </c>
      <c r="B1000" s="224" t="s">
        <v>90</v>
      </c>
      <c r="C1000" s="224" t="s">
        <v>648</v>
      </c>
      <c r="D1000" s="225" t="s">
        <v>41</v>
      </c>
      <c r="E1000" s="224" t="s">
        <v>41</v>
      </c>
      <c r="F1000" s="224" t="s">
        <v>226</v>
      </c>
      <c r="G1000" s="224" t="s">
        <v>177</v>
      </c>
      <c r="H1000" s="224" t="s">
        <v>178</v>
      </c>
      <c r="I1000" s="224" t="s">
        <v>224</v>
      </c>
      <c r="J1000" s="226"/>
      <c r="K1000" s="226"/>
      <c r="L1000" s="226">
        <v>299999</v>
      </c>
      <c r="M1000" s="226">
        <v>299999</v>
      </c>
      <c r="N1000" s="224" t="s">
        <v>225</v>
      </c>
      <c r="O1000" s="224" t="s">
        <v>125</v>
      </c>
    </row>
    <row r="1001" spans="1:15" x14ac:dyDescent="0.25">
      <c r="A1001" s="223" t="s">
        <v>4695</v>
      </c>
      <c r="B1001" s="224" t="s">
        <v>90</v>
      </c>
      <c r="C1001" s="224" t="s">
        <v>648</v>
      </c>
      <c r="D1001" s="225" t="s">
        <v>41</v>
      </c>
      <c r="E1001" s="224" t="s">
        <v>41</v>
      </c>
      <c r="F1001" s="224" t="s">
        <v>226</v>
      </c>
      <c r="G1001" s="224" t="s">
        <v>2345</v>
      </c>
      <c r="H1001" s="224" t="s">
        <v>253</v>
      </c>
      <c r="I1001" s="224" t="s">
        <v>224</v>
      </c>
      <c r="J1001" s="226"/>
      <c r="K1001" s="226"/>
      <c r="L1001" s="226">
        <v>280671.05</v>
      </c>
      <c r="M1001" s="226">
        <v>280671.05</v>
      </c>
      <c r="N1001" s="224" t="s">
        <v>225</v>
      </c>
      <c r="O1001" s="224" t="s">
        <v>125</v>
      </c>
    </row>
    <row r="1002" spans="1:15" x14ac:dyDescent="0.25">
      <c r="A1002" s="223" t="s">
        <v>4695</v>
      </c>
      <c r="B1002" s="224" t="s">
        <v>90</v>
      </c>
      <c r="C1002" s="224" t="s">
        <v>648</v>
      </c>
      <c r="D1002" s="225" t="s">
        <v>41</v>
      </c>
      <c r="E1002" s="224" t="s">
        <v>41</v>
      </c>
      <c r="F1002" s="224" t="s">
        <v>226</v>
      </c>
      <c r="G1002" s="224" t="s">
        <v>117</v>
      </c>
      <c r="H1002" s="224" t="s">
        <v>231</v>
      </c>
      <c r="I1002" s="224" t="s">
        <v>224</v>
      </c>
      <c r="J1002" s="226"/>
      <c r="K1002" s="226"/>
      <c r="L1002" s="226">
        <v>250000</v>
      </c>
      <c r="M1002" s="226">
        <v>250000</v>
      </c>
      <c r="N1002" s="224" t="s">
        <v>225</v>
      </c>
      <c r="O1002" s="224" t="s">
        <v>125</v>
      </c>
    </row>
    <row r="1003" spans="1:15" x14ac:dyDescent="0.25">
      <c r="A1003" s="223" t="s">
        <v>4695</v>
      </c>
      <c r="B1003" s="224" t="s">
        <v>90</v>
      </c>
      <c r="C1003" s="224" t="s">
        <v>648</v>
      </c>
      <c r="D1003" s="225" t="s">
        <v>41</v>
      </c>
      <c r="E1003" s="224" t="s">
        <v>41</v>
      </c>
      <c r="F1003" s="224" t="s">
        <v>226</v>
      </c>
      <c r="G1003" s="224" t="s">
        <v>117</v>
      </c>
      <c r="H1003" s="224" t="s">
        <v>119</v>
      </c>
      <c r="I1003" s="224" t="s">
        <v>224</v>
      </c>
      <c r="J1003" s="226"/>
      <c r="K1003" s="226"/>
      <c r="L1003" s="226">
        <v>250000</v>
      </c>
      <c r="M1003" s="226">
        <v>250000</v>
      </c>
      <c r="N1003" s="224" t="s">
        <v>225</v>
      </c>
      <c r="O1003" s="224" t="s">
        <v>125</v>
      </c>
    </row>
    <row r="1004" spans="1:15" x14ac:dyDescent="0.25">
      <c r="A1004" s="223" t="s">
        <v>4695</v>
      </c>
      <c r="B1004" s="224" t="s">
        <v>90</v>
      </c>
      <c r="C1004" s="224" t="s">
        <v>648</v>
      </c>
      <c r="D1004" s="225" t="s">
        <v>41</v>
      </c>
      <c r="E1004" s="224" t="s">
        <v>41</v>
      </c>
      <c r="F1004" s="224" t="s">
        <v>226</v>
      </c>
      <c r="G1004" s="224" t="s">
        <v>117</v>
      </c>
      <c r="H1004" s="224" t="s">
        <v>119</v>
      </c>
      <c r="I1004" s="224" t="s">
        <v>224</v>
      </c>
      <c r="J1004" s="226"/>
      <c r="K1004" s="226"/>
      <c r="L1004" s="226">
        <v>250000</v>
      </c>
      <c r="M1004" s="226">
        <v>250000</v>
      </c>
      <c r="N1004" s="224" t="s">
        <v>225</v>
      </c>
      <c r="O1004" s="224" t="s">
        <v>125</v>
      </c>
    </row>
    <row r="1005" spans="1:15" x14ac:dyDescent="0.25">
      <c r="A1005" s="223" t="s">
        <v>4695</v>
      </c>
      <c r="B1005" s="224" t="s">
        <v>90</v>
      </c>
      <c r="C1005" s="224" t="s">
        <v>648</v>
      </c>
      <c r="D1005" s="225" t="s">
        <v>41</v>
      </c>
      <c r="E1005" s="224" t="s">
        <v>41</v>
      </c>
      <c r="F1005" s="224" t="s">
        <v>226</v>
      </c>
      <c r="G1005" s="224" t="s">
        <v>117</v>
      </c>
      <c r="H1005" s="224" t="s">
        <v>119</v>
      </c>
      <c r="I1005" s="224" t="s">
        <v>224</v>
      </c>
      <c r="J1005" s="226"/>
      <c r="K1005" s="226"/>
      <c r="L1005" s="226">
        <v>250000</v>
      </c>
      <c r="M1005" s="226">
        <v>250000</v>
      </c>
      <c r="N1005" s="224" t="s">
        <v>225</v>
      </c>
      <c r="O1005" s="224" t="s">
        <v>125</v>
      </c>
    </row>
    <row r="1006" spans="1:15" x14ac:dyDescent="0.25">
      <c r="A1006" s="223" t="s">
        <v>4695</v>
      </c>
      <c r="B1006" s="224" t="s">
        <v>90</v>
      </c>
      <c r="C1006" s="224" t="s">
        <v>648</v>
      </c>
      <c r="D1006" s="225" t="s">
        <v>41</v>
      </c>
      <c r="E1006" s="224" t="s">
        <v>41</v>
      </c>
      <c r="F1006" s="224" t="s">
        <v>226</v>
      </c>
      <c r="G1006" s="224" t="s">
        <v>212</v>
      </c>
      <c r="H1006" s="224" t="s">
        <v>213</v>
      </c>
      <c r="I1006" s="224" t="s">
        <v>224</v>
      </c>
      <c r="J1006" s="226"/>
      <c r="K1006" s="226"/>
      <c r="L1006" s="226">
        <v>250000</v>
      </c>
      <c r="M1006" s="226">
        <v>250000</v>
      </c>
      <c r="N1006" s="224" t="s">
        <v>225</v>
      </c>
      <c r="O1006" s="224" t="s">
        <v>125</v>
      </c>
    </row>
    <row r="1007" spans="1:15" x14ac:dyDescent="0.25">
      <c r="A1007" s="223" t="s">
        <v>4695</v>
      </c>
      <c r="B1007" s="224" t="s">
        <v>90</v>
      </c>
      <c r="C1007" s="224" t="s">
        <v>648</v>
      </c>
      <c r="D1007" s="225" t="s">
        <v>41</v>
      </c>
      <c r="E1007" s="224" t="s">
        <v>41</v>
      </c>
      <c r="F1007" s="224" t="s">
        <v>226</v>
      </c>
      <c r="G1007" s="224" t="s">
        <v>212</v>
      </c>
      <c r="H1007" s="224" t="s">
        <v>213</v>
      </c>
      <c r="I1007" s="224" t="s">
        <v>224</v>
      </c>
      <c r="J1007" s="226"/>
      <c r="K1007" s="226"/>
      <c r="L1007" s="226">
        <v>250000</v>
      </c>
      <c r="M1007" s="226">
        <v>250000</v>
      </c>
      <c r="N1007" s="224" t="s">
        <v>225</v>
      </c>
      <c r="O1007" s="224" t="s">
        <v>125</v>
      </c>
    </row>
    <row r="1008" spans="1:15" x14ac:dyDescent="0.25">
      <c r="A1008" s="223" t="s">
        <v>4695</v>
      </c>
      <c r="B1008" s="224" t="s">
        <v>90</v>
      </c>
      <c r="C1008" s="224" t="s">
        <v>648</v>
      </c>
      <c r="D1008" s="225" t="s">
        <v>41</v>
      </c>
      <c r="E1008" s="224" t="s">
        <v>41</v>
      </c>
      <c r="F1008" s="224" t="s">
        <v>226</v>
      </c>
      <c r="G1008" s="224" t="s">
        <v>177</v>
      </c>
      <c r="H1008" s="224" t="s">
        <v>178</v>
      </c>
      <c r="I1008" s="224" t="s">
        <v>224</v>
      </c>
      <c r="J1008" s="226"/>
      <c r="K1008" s="226"/>
      <c r="L1008" s="226">
        <v>249999</v>
      </c>
      <c r="M1008" s="226">
        <v>249999</v>
      </c>
      <c r="N1008" s="224" t="s">
        <v>225</v>
      </c>
      <c r="O1008" s="224" t="s">
        <v>125</v>
      </c>
    </row>
    <row r="1009" spans="1:15" x14ac:dyDescent="0.25">
      <c r="A1009" s="223" t="s">
        <v>4695</v>
      </c>
      <c r="B1009" s="224" t="s">
        <v>90</v>
      </c>
      <c r="C1009" s="224" t="s">
        <v>648</v>
      </c>
      <c r="D1009" s="225" t="s">
        <v>41</v>
      </c>
      <c r="E1009" s="224" t="s">
        <v>41</v>
      </c>
      <c r="F1009" s="224" t="s">
        <v>226</v>
      </c>
      <c r="G1009" s="224" t="s">
        <v>117</v>
      </c>
      <c r="H1009" s="224" t="s">
        <v>119</v>
      </c>
      <c r="I1009" s="224" t="s">
        <v>224</v>
      </c>
      <c r="J1009" s="226"/>
      <c r="K1009" s="226"/>
      <c r="L1009" s="226">
        <v>249999</v>
      </c>
      <c r="M1009" s="226">
        <v>249999</v>
      </c>
      <c r="N1009" s="224" t="s">
        <v>225</v>
      </c>
      <c r="O1009" s="224" t="s">
        <v>125</v>
      </c>
    </row>
    <row r="1010" spans="1:15" x14ac:dyDescent="0.25">
      <c r="A1010" s="223" t="s">
        <v>4695</v>
      </c>
      <c r="B1010" s="224" t="s">
        <v>90</v>
      </c>
      <c r="C1010" s="224" t="s">
        <v>648</v>
      </c>
      <c r="D1010" s="225" t="s">
        <v>41</v>
      </c>
      <c r="E1010" s="224" t="s">
        <v>41</v>
      </c>
      <c r="F1010" s="224" t="s">
        <v>226</v>
      </c>
      <c r="G1010" s="224" t="s">
        <v>212</v>
      </c>
      <c r="H1010" s="224" t="s">
        <v>213</v>
      </c>
      <c r="I1010" s="224" t="s">
        <v>224</v>
      </c>
      <c r="J1010" s="226"/>
      <c r="K1010" s="226"/>
      <c r="L1010" s="226">
        <v>249999</v>
      </c>
      <c r="M1010" s="226">
        <v>249999</v>
      </c>
      <c r="N1010" s="224" t="s">
        <v>225</v>
      </c>
      <c r="O1010" s="224" t="s">
        <v>125</v>
      </c>
    </row>
    <row r="1011" spans="1:15" ht="15.75" x14ac:dyDescent="0.25">
      <c r="A1011" s="224" t="s">
        <v>4695</v>
      </c>
      <c r="B1011" s="227" t="s">
        <v>90</v>
      </c>
      <c r="C1011" s="224" t="s">
        <v>648</v>
      </c>
      <c r="D1011" s="227" t="s">
        <v>91</v>
      </c>
      <c r="E1011" s="227" t="s">
        <v>41</v>
      </c>
      <c r="F1011" s="227" t="s">
        <v>108</v>
      </c>
      <c r="G1011" s="224" t="s">
        <v>2345</v>
      </c>
      <c r="H1011" s="227" t="s">
        <v>74</v>
      </c>
      <c r="I1011" s="227" t="s">
        <v>83</v>
      </c>
      <c r="J1011" s="224"/>
      <c r="K1011" s="224"/>
      <c r="L1011" s="233">
        <v>204822.9</v>
      </c>
      <c r="M1011" s="232">
        <v>204822.9</v>
      </c>
      <c r="N1011" s="224" t="s">
        <v>225</v>
      </c>
      <c r="O1011" s="224" t="s">
        <v>125</v>
      </c>
    </row>
    <row r="1012" spans="1:15" x14ac:dyDescent="0.25">
      <c r="A1012" s="223" t="s">
        <v>4695</v>
      </c>
      <c r="B1012" s="224" t="s">
        <v>90</v>
      </c>
      <c r="C1012" s="224" t="s">
        <v>648</v>
      </c>
      <c r="D1012" s="225" t="s">
        <v>41</v>
      </c>
      <c r="E1012" s="224" t="s">
        <v>41</v>
      </c>
      <c r="F1012" s="224" t="s">
        <v>226</v>
      </c>
      <c r="G1012" s="224" t="s">
        <v>117</v>
      </c>
      <c r="H1012" s="224" t="s">
        <v>119</v>
      </c>
      <c r="I1012" s="224" t="s">
        <v>224</v>
      </c>
      <c r="J1012" s="226"/>
      <c r="K1012" s="226"/>
      <c r="L1012" s="226">
        <v>200000</v>
      </c>
      <c r="M1012" s="226">
        <v>200000</v>
      </c>
      <c r="N1012" s="224" t="s">
        <v>225</v>
      </c>
      <c r="O1012" s="224" t="s">
        <v>125</v>
      </c>
    </row>
    <row r="1013" spans="1:15" x14ac:dyDescent="0.25">
      <c r="A1013" s="223" t="s">
        <v>4695</v>
      </c>
      <c r="B1013" s="224" t="s">
        <v>90</v>
      </c>
      <c r="C1013" s="224" t="s">
        <v>648</v>
      </c>
      <c r="D1013" s="225" t="s">
        <v>41</v>
      </c>
      <c r="E1013" s="224" t="s">
        <v>41</v>
      </c>
      <c r="F1013" s="224" t="s">
        <v>226</v>
      </c>
      <c r="G1013" s="224" t="s">
        <v>117</v>
      </c>
      <c r="H1013" s="224" t="s">
        <v>119</v>
      </c>
      <c r="I1013" s="224" t="s">
        <v>224</v>
      </c>
      <c r="J1013" s="226"/>
      <c r="K1013" s="226"/>
      <c r="L1013" s="226">
        <v>200000</v>
      </c>
      <c r="M1013" s="226">
        <v>200000</v>
      </c>
      <c r="N1013" s="224" t="s">
        <v>225</v>
      </c>
      <c r="O1013" s="224" t="s">
        <v>125</v>
      </c>
    </row>
    <row r="1014" spans="1:15" x14ac:dyDescent="0.25">
      <c r="A1014" s="223" t="s">
        <v>4695</v>
      </c>
      <c r="B1014" s="224" t="s">
        <v>90</v>
      </c>
      <c r="C1014" s="224" t="s">
        <v>648</v>
      </c>
      <c r="D1014" s="225" t="s">
        <v>41</v>
      </c>
      <c r="E1014" s="224" t="s">
        <v>41</v>
      </c>
      <c r="F1014" s="224" t="s">
        <v>226</v>
      </c>
      <c r="G1014" s="224" t="s">
        <v>117</v>
      </c>
      <c r="H1014" s="224" t="s">
        <v>119</v>
      </c>
      <c r="I1014" s="224" t="s">
        <v>224</v>
      </c>
      <c r="J1014" s="226"/>
      <c r="K1014" s="226"/>
      <c r="L1014" s="226">
        <v>200000</v>
      </c>
      <c r="M1014" s="226">
        <v>200000</v>
      </c>
      <c r="N1014" s="224" t="s">
        <v>225</v>
      </c>
      <c r="O1014" s="224" t="s">
        <v>125</v>
      </c>
    </row>
    <row r="1015" spans="1:15" x14ac:dyDescent="0.25">
      <c r="A1015" s="223" t="s">
        <v>4695</v>
      </c>
      <c r="B1015" s="224" t="s">
        <v>90</v>
      </c>
      <c r="C1015" s="224" t="s">
        <v>648</v>
      </c>
      <c r="D1015" s="225" t="s">
        <v>41</v>
      </c>
      <c r="E1015" s="224" t="s">
        <v>41</v>
      </c>
      <c r="F1015" s="224" t="s">
        <v>226</v>
      </c>
      <c r="G1015" s="224" t="s">
        <v>117</v>
      </c>
      <c r="H1015" s="224" t="s">
        <v>119</v>
      </c>
      <c r="I1015" s="224" t="s">
        <v>224</v>
      </c>
      <c r="J1015" s="226"/>
      <c r="K1015" s="226"/>
      <c r="L1015" s="226">
        <v>200000</v>
      </c>
      <c r="M1015" s="226">
        <v>200000</v>
      </c>
      <c r="N1015" s="224" t="s">
        <v>225</v>
      </c>
      <c r="O1015" s="224" t="s">
        <v>125</v>
      </c>
    </row>
    <row r="1016" spans="1:15" x14ac:dyDescent="0.25">
      <c r="A1016" s="223" t="s">
        <v>4695</v>
      </c>
      <c r="B1016" s="224" t="s">
        <v>90</v>
      </c>
      <c r="C1016" s="224" t="s">
        <v>648</v>
      </c>
      <c r="D1016" s="225" t="s">
        <v>41</v>
      </c>
      <c r="E1016" s="224" t="s">
        <v>41</v>
      </c>
      <c r="F1016" s="224" t="s">
        <v>226</v>
      </c>
      <c r="G1016" s="224" t="s">
        <v>177</v>
      </c>
      <c r="H1016" s="224" t="s">
        <v>178</v>
      </c>
      <c r="I1016" s="224" t="s">
        <v>224</v>
      </c>
      <c r="J1016" s="226"/>
      <c r="K1016" s="226"/>
      <c r="L1016" s="226">
        <v>180000</v>
      </c>
      <c r="M1016" s="226">
        <v>180000</v>
      </c>
      <c r="N1016" s="224" t="s">
        <v>225</v>
      </c>
      <c r="O1016" s="224" t="s">
        <v>125</v>
      </c>
    </row>
    <row r="1017" spans="1:15" x14ac:dyDescent="0.25">
      <c r="A1017" s="223" t="s">
        <v>4695</v>
      </c>
      <c r="B1017" s="224" t="s">
        <v>90</v>
      </c>
      <c r="C1017" s="224" t="s">
        <v>648</v>
      </c>
      <c r="D1017" s="225" t="s">
        <v>41</v>
      </c>
      <c r="E1017" s="224" t="s">
        <v>41</v>
      </c>
      <c r="F1017" s="224" t="s">
        <v>226</v>
      </c>
      <c r="G1017" s="224" t="s">
        <v>117</v>
      </c>
      <c r="H1017" s="224" t="s">
        <v>119</v>
      </c>
      <c r="I1017" s="224" t="s">
        <v>224</v>
      </c>
      <c r="J1017" s="226"/>
      <c r="K1017" s="226"/>
      <c r="L1017" s="226">
        <v>180000</v>
      </c>
      <c r="M1017" s="226">
        <v>180000</v>
      </c>
      <c r="N1017" s="224" t="s">
        <v>225</v>
      </c>
      <c r="O1017" s="224" t="s">
        <v>125</v>
      </c>
    </row>
    <row r="1018" spans="1:15" x14ac:dyDescent="0.25">
      <c r="A1018" s="223" t="s">
        <v>4695</v>
      </c>
      <c r="B1018" s="224" t="s">
        <v>90</v>
      </c>
      <c r="C1018" s="224" t="s">
        <v>648</v>
      </c>
      <c r="D1018" s="225" t="s">
        <v>41</v>
      </c>
      <c r="E1018" s="224" t="s">
        <v>41</v>
      </c>
      <c r="F1018" s="224" t="s">
        <v>226</v>
      </c>
      <c r="G1018" s="224" t="s">
        <v>2345</v>
      </c>
      <c r="H1018" s="224" t="s">
        <v>227</v>
      </c>
      <c r="I1018" s="224" t="s">
        <v>224</v>
      </c>
      <c r="J1018" s="226"/>
      <c r="K1018" s="226"/>
      <c r="L1018" s="226">
        <v>151000</v>
      </c>
      <c r="M1018" s="226">
        <v>151000</v>
      </c>
      <c r="N1018" s="224" t="s">
        <v>225</v>
      </c>
      <c r="O1018" s="224" t="s">
        <v>125</v>
      </c>
    </row>
    <row r="1019" spans="1:15" x14ac:dyDescent="0.25">
      <c r="A1019" s="223" t="s">
        <v>4695</v>
      </c>
      <c r="B1019" s="224" t="s">
        <v>90</v>
      </c>
      <c r="C1019" s="224" t="s">
        <v>648</v>
      </c>
      <c r="D1019" s="225" t="s">
        <v>41</v>
      </c>
      <c r="E1019" s="224" t="s">
        <v>41</v>
      </c>
      <c r="F1019" s="224" t="s">
        <v>226</v>
      </c>
      <c r="G1019" s="224" t="s">
        <v>2345</v>
      </c>
      <c r="H1019" s="224" t="s">
        <v>227</v>
      </c>
      <c r="I1019" s="224" t="s">
        <v>224</v>
      </c>
      <c r="J1019" s="226"/>
      <c r="K1019" s="226"/>
      <c r="L1019" s="226">
        <v>136000</v>
      </c>
      <c r="M1019" s="226">
        <v>136000</v>
      </c>
      <c r="N1019" s="224" t="s">
        <v>225</v>
      </c>
      <c r="O1019" s="224" t="s">
        <v>125</v>
      </c>
    </row>
    <row r="1020" spans="1:15" ht="15.75" x14ac:dyDescent="0.25">
      <c r="A1020" s="224" t="s">
        <v>4695</v>
      </c>
      <c r="B1020" s="227" t="s">
        <v>90</v>
      </c>
      <c r="C1020" s="224" t="s">
        <v>648</v>
      </c>
      <c r="D1020" s="227" t="s">
        <v>91</v>
      </c>
      <c r="E1020" s="227" t="s">
        <v>41</v>
      </c>
      <c r="F1020" s="227" t="s">
        <v>101</v>
      </c>
      <c r="G1020" s="224" t="s">
        <v>117</v>
      </c>
      <c r="H1020" s="227" t="s">
        <v>120</v>
      </c>
      <c r="I1020" s="227" t="s">
        <v>83</v>
      </c>
      <c r="J1020" s="224"/>
      <c r="K1020" s="224"/>
      <c r="L1020" s="232">
        <v>86634.65</v>
      </c>
      <c r="M1020" s="232">
        <v>86634.65</v>
      </c>
      <c r="N1020" s="224" t="s">
        <v>82</v>
      </c>
      <c r="O1020" s="227" t="s">
        <v>126</v>
      </c>
    </row>
    <row r="1021" spans="1:15" ht="15.75" x14ac:dyDescent="0.25">
      <c r="A1021" s="224" t="s">
        <v>4695</v>
      </c>
      <c r="B1021" s="227" t="s">
        <v>90</v>
      </c>
      <c r="C1021" s="224" t="s">
        <v>648</v>
      </c>
      <c r="D1021" s="227" t="s">
        <v>91</v>
      </c>
      <c r="E1021" s="227" t="s">
        <v>41</v>
      </c>
      <c r="F1021" s="227" t="s">
        <v>91</v>
      </c>
      <c r="G1021" s="224" t="s">
        <v>117</v>
      </c>
      <c r="H1021" s="227" t="s">
        <v>119</v>
      </c>
      <c r="I1021" s="227" t="s">
        <v>83</v>
      </c>
      <c r="J1021" s="224"/>
      <c r="K1021" s="224"/>
      <c r="L1021" s="232">
        <v>2200000</v>
      </c>
      <c r="M1021" s="232">
        <v>2200000</v>
      </c>
      <c r="N1021" s="224" t="s">
        <v>79</v>
      </c>
      <c r="O1021" s="224" t="s">
        <v>124</v>
      </c>
    </row>
    <row r="1022" spans="1:15" ht="15.75" x14ac:dyDescent="0.25">
      <c r="A1022" s="224" t="s">
        <v>4695</v>
      </c>
      <c r="B1022" s="227" t="s">
        <v>90</v>
      </c>
      <c r="C1022" s="224" t="s">
        <v>648</v>
      </c>
      <c r="D1022" s="227" t="s">
        <v>91</v>
      </c>
      <c r="E1022" s="227" t="s">
        <v>41</v>
      </c>
      <c r="F1022" s="227" t="s">
        <v>91</v>
      </c>
      <c r="G1022" s="224" t="s">
        <v>117</v>
      </c>
      <c r="H1022" s="227" t="s">
        <v>119</v>
      </c>
      <c r="I1022" s="227" t="s">
        <v>83</v>
      </c>
      <c r="J1022" s="224"/>
      <c r="K1022" s="224"/>
      <c r="L1022" s="232">
        <v>2200000</v>
      </c>
      <c r="M1022" s="232">
        <v>2200000</v>
      </c>
      <c r="N1022" s="224" t="s">
        <v>79</v>
      </c>
      <c r="O1022" s="224" t="s">
        <v>124</v>
      </c>
    </row>
    <row r="1023" spans="1:15" ht="15.75" x14ac:dyDescent="0.25">
      <c r="A1023" s="224" t="s">
        <v>4695</v>
      </c>
      <c r="B1023" s="227" t="s">
        <v>90</v>
      </c>
      <c r="C1023" s="224" t="s">
        <v>648</v>
      </c>
      <c r="D1023" s="227" t="s">
        <v>91</v>
      </c>
      <c r="E1023" s="227" t="s">
        <v>41</v>
      </c>
      <c r="F1023" s="227" t="s">
        <v>91</v>
      </c>
      <c r="G1023" s="224" t="s">
        <v>117</v>
      </c>
      <c r="H1023" s="227" t="s">
        <v>119</v>
      </c>
      <c r="I1023" s="227" t="s">
        <v>83</v>
      </c>
      <c r="J1023" s="224"/>
      <c r="K1023" s="224"/>
      <c r="L1023" s="232">
        <v>2200000</v>
      </c>
      <c r="M1023" s="232">
        <v>2200000</v>
      </c>
      <c r="N1023" s="224" t="s">
        <v>79</v>
      </c>
      <c r="O1023" s="224" t="s">
        <v>124</v>
      </c>
    </row>
    <row r="1024" spans="1:15" x14ac:dyDescent="0.25">
      <c r="A1024" s="221" t="s">
        <v>4695</v>
      </c>
      <c r="B1024" s="221" t="s">
        <v>18</v>
      </c>
      <c r="C1024" s="221" t="s">
        <v>648</v>
      </c>
      <c r="D1024" s="221" t="s">
        <v>648</v>
      </c>
      <c r="E1024" s="221" t="s">
        <v>649</v>
      </c>
      <c r="F1024" s="221" t="s">
        <v>695</v>
      </c>
      <c r="G1024" s="224" t="s">
        <v>2345</v>
      </c>
      <c r="H1024" s="221" t="s">
        <v>696</v>
      </c>
      <c r="I1024" s="221" t="s">
        <v>652</v>
      </c>
      <c r="J1024" s="226"/>
      <c r="K1024" s="226"/>
      <c r="L1024" s="222">
        <v>14600528</v>
      </c>
      <c r="M1024" s="222">
        <v>14600528</v>
      </c>
      <c r="N1024" s="221" t="s">
        <v>4625</v>
      </c>
      <c r="O1024" s="221" t="s">
        <v>124</v>
      </c>
    </row>
    <row r="1025" spans="1:15" x14ac:dyDescent="0.25">
      <c r="A1025" s="221" t="s">
        <v>4695</v>
      </c>
      <c r="B1025" s="221" t="s">
        <v>18</v>
      </c>
      <c r="C1025" s="221" t="s">
        <v>648</v>
      </c>
      <c r="D1025" s="221" t="s">
        <v>648</v>
      </c>
      <c r="E1025" s="221" t="s">
        <v>649</v>
      </c>
      <c r="F1025" s="221" t="s">
        <v>650</v>
      </c>
      <c r="G1025" s="224" t="s">
        <v>2345</v>
      </c>
      <c r="H1025" s="221" t="s">
        <v>651</v>
      </c>
      <c r="I1025" s="221" t="s">
        <v>652</v>
      </c>
      <c r="J1025" s="226"/>
      <c r="K1025" s="226"/>
      <c r="L1025" s="222">
        <v>12848537.199999999</v>
      </c>
      <c r="M1025" s="222">
        <v>12848537.199999999</v>
      </c>
      <c r="N1025" s="221" t="s">
        <v>4625</v>
      </c>
      <c r="O1025" s="221" t="s">
        <v>124</v>
      </c>
    </row>
    <row r="1026" spans="1:15" x14ac:dyDescent="0.25">
      <c r="A1026" s="221" t="s">
        <v>4695</v>
      </c>
      <c r="B1026" s="221" t="s">
        <v>18</v>
      </c>
      <c r="C1026" s="221" t="s">
        <v>648</v>
      </c>
      <c r="D1026" s="221" t="s">
        <v>648</v>
      </c>
      <c r="E1026" s="221" t="s">
        <v>649</v>
      </c>
      <c r="F1026" s="221" t="s">
        <v>654</v>
      </c>
      <c r="G1026" s="224" t="s">
        <v>212</v>
      </c>
      <c r="H1026" s="221" t="s">
        <v>655</v>
      </c>
      <c r="I1026" s="221" t="s">
        <v>652</v>
      </c>
      <c r="J1026" s="226"/>
      <c r="K1026" s="226"/>
      <c r="L1026" s="222">
        <v>5713801.1500000004</v>
      </c>
      <c r="M1026" s="222">
        <v>5713801.1500000004</v>
      </c>
      <c r="N1026" s="221" t="s">
        <v>4625</v>
      </c>
      <c r="O1026" s="221" t="s">
        <v>124</v>
      </c>
    </row>
    <row r="1027" spans="1:15" x14ac:dyDescent="0.25">
      <c r="A1027" s="221" t="s">
        <v>4695</v>
      </c>
      <c r="B1027" s="221" t="s">
        <v>18</v>
      </c>
      <c r="C1027" s="221" t="s">
        <v>648</v>
      </c>
      <c r="D1027" s="221" t="s">
        <v>648</v>
      </c>
      <c r="E1027" s="221" t="s">
        <v>649</v>
      </c>
      <c r="F1027" s="221" t="s">
        <v>656</v>
      </c>
      <c r="G1027" s="224" t="s">
        <v>212</v>
      </c>
      <c r="H1027" s="221" t="s">
        <v>655</v>
      </c>
      <c r="I1027" s="221" t="s">
        <v>652</v>
      </c>
      <c r="J1027" s="226"/>
      <c r="K1027" s="226"/>
      <c r="L1027" s="222">
        <v>7098410.2400000002</v>
      </c>
      <c r="M1027" s="222">
        <v>7098410.2400000002</v>
      </c>
      <c r="N1027" s="221" t="s">
        <v>4625</v>
      </c>
      <c r="O1027" s="221" t="s">
        <v>124</v>
      </c>
    </row>
    <row r="1028" spans="1:15" x14ac:dyDescent="0.25">
      <c r="A1028" s="221" t="s">
        <v>4695</v>
      </c>
      <c r="B1028" s="221" t="s">
        <v>18</v>
      </c>
      <c r="C1028" s="221" t="s">
        <v>648</v>
      </c>
      <c r="D1028" s="221" t="s">
        <v>648</v>
      </c>
      <c r="E1028" s="221" t="s">
        <v>684</v>
      </c>
      <c r="F1028" s="221" t="s">
        <v>684</v>
      </c>
      <c r="G1028" s="221" t="s">
        <v>2289</v>
      </c>
      <c r="H1028" s="221" t="s">
        <v>694</v>
      </c>
      <c r="I1028" s="221" t="s">
        <v>652</v>
      </c>
      <c r="J1028" s="226"/>
      <c r="K1028" s="226"/>
      <c r="L1028" s="222">
        <v>10000000</v>
      </c>
      <c r="M1028" s="222">
        <v>10000000</v>
      </c>
      <c r="N1028" s="221" t="s">
        <v>4683</v>
      </c>
      <c r="O1028" s="221" t="s">
        <v>124</v>
      </c>
    </row>
    <row r="1029" spans="1:15" x14ac:dyDescent="0.25">
      <c r="A1029" s="221" t="s">
        <v>4695</v>
      </c>
      <c r="B1029" s="221" t="s">
        <v>18</v>
      </c>
      <c r="C1029" s="221" t="s">
        <v>648</v>
      </c>
      <c r="D1029" s="221" t="s">
        <v>648</v>
      </c>
      <c r="E1029" s="221" t="s">
        <v>662</v>
      </c>
      <c r="F1029" s="221" t="s">
        <v>663</v>
      </c>
      <c r="G1029" s="224" t="s">
        <v>2345</v>
      </c>
      <c r="H1029" s="221" t="s">
        <v>664</v>
      </c>
      <c r="I1029" s="221" t="s">
        <v>652</v>
      </c>
      <c r="J1029" s="226"/>
      <c r="K1029" s="226"/>
      <c r="L1029" s="222">
        <v>3000000</v>
      </c>
      <c r="M1029" s="222">
        <v>3000000</v>
      </c>
      <c r="N1029" s="221" t="s">
        <v>4683</v>
      </c>
      <c r="O1029" s="221" t="s">
        <v>124</v>
      </c>
    </row>
    <row r="1030" spans="1:15" x14ac:dyDescent="0.25">
      <c r="A1030" s="187" t="s">
        <v>796</v>
      </c>
      <c r="B1030" s="61" t="s">
        <v>90</v>
      </c>
      <c r="C1030" s="61" t="s">
        <v>648</v>
      </c>
      <c r="D1030" s="199" t="s">
        <v>950</v>
      </c>
      <c r="E1030" s="199" t="s">
        <v>41</v>
      </c>
      <c r="F1030" s="199" t="s">
        <v>41</v>
      </c>
      <c r="G1030" s="7" t="s">
        <v>2345</v>
      </c>
      <c r="H1030" s="199" t="s">
        <v>4747</v>
      </c>
      <c r="I1030" s="199" t="s">
        <v>1276</v>
      </c>
      <c r="J1030" s="235">
        <v>48531.49</v>
      </c>
      <c r="K1030" s="211">
        <v>5392.510000000002</v>
      </c>
      <c r="L1030" s="211">
        <v>0</v>
      </c>
      <c r="M1030" s="235">
        <v>53924</v>
      </c>
      <c r="N1030" s="61" t="s">
        <v>624</v>
      </c>
      <c r="O1030" s="61" t="s">
        <v>124</v>
      </c>
    </row>
    <row r="1031" spans="1:15" x14ac:dyDescent="0.25">
      <c r="A1031" s="7" t="s">
        <v>2998</v>
      </c>
      <c r="B1031" s="7" t="s">
        <v>90</v>
      </c>
      <c r="C1031" s="7" t="s">
        <v>648</v>
      </c>
      <c r="D1031" s="7" t="s">
        <v>2724</v>
      </c>
      <c r="E1031" s="7" t="s">
        <v>41</v>
      </c>
      <c r="F1031" s="7" t="s">
        <v>2997</v>
      </c>
      <c r="G1031" s="7" t="s">
        <v>177</v>
      </c>
      <c r="H1031" s="7" t="s">
        <v>178</v>
      </c>
      <c r="I1031" s="7" t="s">
        <v>1275</v>
      </c>
      <c r="J1031" s="209">
        <v>216000</v>
      </c>
      <c r="K1031" s="209">
        <v>24000</v>
      </c>
      <c r="L1031" s="209">
        <v>0</v>
      </c>
      <c r="M1031" s="209">
        <v>240000</v>
      </c>
      <c r="N1031" s="7" t="s">
        <v>624</v>
      </c>
      <c r="O1031" s="7" t="s">
        <v>124</v>
      </c>
    </row>
    <row r="1032" spans="1:15" x14ac:dyDescent="0.25">
      <c r="A1032" s="7" t="s">
        <v>2998</v>
      </c>
      <c r="B1032" s="7" t="s">
        <v>90</v>
      </c>
      <c r="C1032" s="7" t="s">
        <v>648</v>
      </c>
      <c r="D1032" s="7" t="s">
        <v>2724</v>
      </c>
      <c r="E1032" s="7" t="s">
        <v>41</v>
      </c>
      <c r="F1032" s="7" t="s">
        <v>2997</v>
      </c>
      <c r="G1032" s="7" t="s">
        <v>2345</v>
      </c>
      <c r="H1032" s="7" t="s">
        <v>2996</v>
      </c>
      <c r="I1032" s="7" t="s">
        <v>1275</v>
      </c>
      <c r="J1032" s="209">
        <v>1944000</v>
      </c>
      <c r="K1032" s="209">
        <v>216000</v>
      </c>
      <c r="L1032" s="209">
        <v>0</v>
      </c>
      <c r="M1032" s="209">
        <v>2160000</v>
      </c>
      <c r="N1032" s="7" t="s">
        <v>624</v>
      </c>
      <c r="O1032" s="7" t="s">
        <v>124</v>
      </c>
    </row>
    <row r="1033" spans="1:15" x14ac:dyDescent="0.25">
      <c r="A1033" s="7" t="s">
        <v>2622</v>
      </c>
      <c r="B1033" s="7" t="s">
        <v>90</v>
      </c>
      <c r="C1033" s="7" t="s">
        <v>648</v>
      </c>
      <c r="D1033" s="7" t="s">
        <v>920</v>
      </c>
      <c r="E1033" s="7" t="s">
        <v>2621</v>
      </c>
      <c r="F1033" s="7" t="s">
        <v>394</v>
      </c>
      <c r="G1033" s="7" t="s">
        <v>2345</v>
      </c>
      <c r="H1033" s="7" t="s">
        <v>2620</v>
      </c>
      <c r="I1033" s="7" t="s">
        <v>2619</v>
      </c>
      <c r="K1033" s="209">
        <v>0</v>
      </c>
      <c r="L1033" s="209">
        <v>0</v>
      </c>
      <c r="N1033" s="7" t="s">
        <v>624</v>
      </c>
      <c r="O1033" s="7" t="s">
        <v>124</v>
      </c>
    </row>
    <row r="1034" spans="1:15" x14ac:dyDescent="0.25">
      <c r="A1034" s="7" t="s">
        <v>2622</v>
      </c>
      <c r="B1034" s="7" t="s">
        <v>90</v>
      </c>
      <c r="C1034" s="7" t="s">
        <v>648</v>
      </c>
      <c r="D1034" s="7" t="s">
        <v>239</v>
      </c>
      <c r="E1034" s="7" t="s">
        <v>4559</v>
      </c>
      <c r="F1034" s="7" t="s">
        <v>4558</v>
      </c>
      <c r="G1034" s="7" t="s">
        <v>2345</v>
      </c>
      <c r="H1034" s="7" t="s">
        <v>2620</v>
      </c>
      <c r="I1034" s="7" t="s">
        <v>2619</v>
      </c>
      <c r="J1034" s="209">
        <v>135000</v>
      </c>
      <c r="K1034" s="209">
        <v>15000</v>
      </c>
      <c r="L1034" s="209">
        <v>0</v>
      </c>
      <c r="M1034" s="209">
        <v>150000</v>
      </c>
      <c r="N1034" s="7" t="s">
        <v>624</v>
      </c>
      <c r="O1034" s="7" t="s">
        <v>124</v>
      </c>
    </row>
    <row r="1035" spans="1:15" x14ac:dyDescent="0.25">
      <c r="A1035" s="7" t="s">
        <v>2622</v>
      </c>
      <c r="B1035" s="7" t="s">
        <v>90</v>
      </c>
      <c r="C1035" s="7" t="s">
        <v>648</v>
      </c>
      <c r="D1035" s="7" t="s">
        <v>239</v>
      </c>
      <c r="E1035" s="7" t="s">
        <v>4553</v>
      </c>
      <c r="F1035" s="7" t="s">
        <v>4552</v>
      </c>
      <c r="G1035" s="7" t="s">
        <v>2345</v>
      </c>
      <c r="H1035" s="7" t="s">
        <v>2620</v>
      </c>
      <c r="I1035" s="7" t="s">
        <v>2619</v>
      </c>
      <c r="J1035" s="209">
        <v>405000</v>
      </c>
      <c r="K1035" s="209">
        <v>45000</v>
      </c>
      <c r="L1035" s="209">
        <v>0</v>
      </c>
      <c r="M1035" s="209">
        <v>450000</v>
      </c>
      <c r="N1035" s="7" t="s">
        <v>624</v>
      </c>
      <c r="O1035" s="7" t="s">
        <v>124</v>
      </c>
    </row>
    <row r="1036" spans="1:15" x14ac:dyDescent="0.25">
      <c r="A1036" s="7" t="s">
        <v>2622</v>
      </c>
      <c r="B1036" s="7" t="s">
        <v>90</v>
      </c>
      <c r="C1036" s="7" t="s">
        <v>648</v>
      </c>
      <c r="D1036" s="7" t="s">
        <v>920</v>
      </c>
      <c r="E1036" s="7" t="s">
        <v>394</v>
      </c>
      <c r="F1036" s="7" t="s">
        <v>4452</v>
      </c>
      <c r="G1036" s="7" t="s">
        <v>2345</v>
      </c>
      <c r="H1036" s="7" t="s">
        <v>2627</v>
      </c>
      <c r="I1036" s="7" t="s">
        <v>2619</v>
      </c>
      <c r="J1036" s="209">
        <v>360000</v>
      </c>
      <c r="K1036" s="209">
        <v>40000</v>
      </c>
      <c r="L1036" s="209">
        <v>0</v>
      </c>
      <c r="M1036" s="209">
        <v>400000</v>
      </c>
      <c r="N1036" s="7" t="s">
        <v>624</v>
      </c>
      <c r="O1036" s="7" t="s">
        <v>124</v>
      </c>
    </row>
    <row r="1037" spans="1:15" x14ac:dyDescent="0.25">
      <c r="A1037" s="7" t="s">
        <v>2622</v>
      </c>
      <c r="B1037" s="7" t="s">
        <v>90</v>
      </c>
      <c r="C1037" s="7" t="s">
        <v>648</v>
      </c>
      <c r="D1037" s="7" t="s">
        <v>91</v>
      </c>
      <c r="E1037" s="7" t="s">
        <v>2629</v>
      </c>
      <c r="F1037" s="7" t="s">
        <v>2628</v>
      </c>
      <c r="G1037" s="7" t="s">
        <v>2345</v>
      </c>
      <c r="H1037" s="7" t="s">
        <v>2627</v>
      </c>
      <c r="I1037" s="7" t="s">
        <v>2619</v>
      </c>
      <c r="J1037" s="209">
        <v>432000</v>
      </c>
      <c r="K1037" s="209">
        <v>48000</v>
      </c>
      <c r="L1037" s="209">
        <v>0</v>
      </c>
      <c r="M1037" s="209">
        <v>480000</v>
      </c>
      <c r="N1037" s="7" t="s">
        <v>624</v>
      </c>
      <c r="O1037" s="7" t="s">
        <v>124</v>
      </c>
    </row>
    <row r="1038" spans="1:15" x14ac:dyDescent="0.25">
      <c r="A1038" s="223" t="s">
        <v>645</v>
      </c>
      <c r="B1038" s="224" t="s">
        <v>90</v>
      </c>
      <c r="C1038" s="224" t="s">
        <v>239</v>
      </c>
      <c r="D1038" s="225" t="s">
        <v>646</v>
      </c>
      <c r="E1038" s="224" t="s">
        <v>41</v>
      </c>
      <c r="F1038" s="224" t="s">
        <v>647</v>
      </c>
      <c r="G1038" s="224" t="s">
        <v>2345</v>
      </c>
      <c r="H1038" s="224" t="s">
        <v>227</v>
      </c>
      <c r="I1038" s="224" t="s">
        <v>224</v>
      </c>
      <c r="J1038" s="226"/>
      <c r="K1038" s="226"/>
      <c r="L1038" s="226">
        <v>408022.5</v>
      </c>
      <c r="M1038" s="226">
        <v>408022.5</v>
      </c>
      <c r="N1038" s="224" t="s">
        <v>323</v>
      </c>
      <c r="O1038" s="224" t="s">
        <v>124</v>
      </c>
    </row>
    <row r="1039" spans="1:15" x14ac:dyDescent="0.25">
      <c r="A1039" s="7" t="s">
        <v>2741</v>
      </c>
      <c r="B1039" s="7" t="s">
        <v>18</v>
      </c>
      <c r="C1039" s="7" t="s">
        <v>648</v>
      </c>
      <c r="D1039" s="7" t="s">
        <v>2724</v>
      </c>
      <c r="E1039" s="7" t="s">
        <v>648</v>
      </c>
      <c r="F1039" s="7" t="s">
        <v>648</v>
      </c>
      <c r="G1039" s="221" t="s">
        <v>2289</v>
      </c>
      <c r="H1039" s="7" t="s">
        <v>2740</v>
      </c>
      <c r="I1039" s="7" t="s">
        <v>2313</v>
      </c>
      <c r="J1039" s="209">
        <v>4065553</v>
      </c>
      <c r="K1039" s="209">
        <v>1016388.25</v>
      </c>
      <c r="L1039" s="209">
        <v>0</v>
      </c>
      <c r="M1039" s="209">
        <v>5081941.25</v>
      </c>
      <c r="N1039" s="7" t="s">
        <v>1849</v>
      </c>
      <c r="O1039" s="7" t="s">
        <v>1849</v>
      </c>
    </row>
    <row r="1040" spans="1:15" x14ac:dyDescent="0.25">
      <c r="A1040" s="7" t="s">
        <v>2741</v>
      </c>
      <c r="B1040" s="7" t="s">
        <v>18</v>
      </c>
      <c r="C1040" s="7" t="s">
        <v>648</v>
      </c>
      <c r="D1040" s="7" t="s">
        <v>2724</v>
      </c>
      <c r="E1040" s="7" t="s">
        <v>648</v>
      </c>
      <c r="F1040" s="7" t="s">
        <v>648</v>
      </c>
      <c r="G1040" s="221" t="s">
        <v>2289</v>
      </c>
      <c r="H1040" s="7" t="s">
        <v>2740</v>
      </c>
      <c r="I1040" s="7" t="s">
        <v>2313</v>
      </c>
      <c r="J1040" s="209">
        <v>4962980</v>
      </c>
      <c r="K1040" s="209" t="s">
        <v>3799</v>
      </c>
      <c r="L1040" s="209">
        <v>0</v>
      </c>
      <c r="M1040" s="209">
        <v>4962980</v>
      </c>
      <c r="N1040" s="7" t="s">
        <v>1849</v>
      </c>
      <c r="O1040" s="7" t="s">
        <v>1849</v>
      </c>
    </row>
    <row r="1041" spans="1:15" x14ac:dyDescent="0.25">
      <c r="A1041" s="7" t="s">
        <v>2741</v>
      </c>
      <c r="B1041" s="7" t="s">
        <v>18</v>
      </c>
      <c r="C1041" s="7" t="s">
        <v>648</v>
      </c>
      <c r="D1041" s="7" t="s">
        <v>2724</v>
      </c>
      <c r="E1041" s="7" t="s">
        <v>648</v>
      </c>
      <c r="F1041" s="7" t="s">
        <v>648</v>
      </c>
      <c r="G1041" s="221" t="s">
        <v>2289</v>
      </c>
      <c r="H1041" s="7" t="s">
        <v>2740</v>
      </c>
      <c r="I1041" s="7" t="s">
        <v>2313</v>
      </c>
      <c r="J1041" s="209">
        <v>10109905</v>
      </c>
      <c r="K1041" s="209" t="s">
        <v>3799</v>
      </c>
      <c r="L1041" s="209">
        <v>0</v>
      </c>
      <c r="M1041" s="209">
        <v>10455972.5</v>
      </c>
      <c r="N1041" s="7" t="s">
        <v>1849</v>
      </c>
      <c r="O1041" s="7" t="s">
        <v>1849</v>
      </c>
    </row>
    <row r="1042" spans="1:15" x14ac:dyDescent="0.25">
      <c r="A1042" s="7" t="s">
        <v>2741</v>
      </c>
      <c r="B1042" s="7" t="s">
        <v>18</v>
      </c>
      <c r="C1042" s="7" t="s">
        <v>648</v>
      </c>
      <c r="D1042" s="7" t="s">
        <v>2724</v>
      </c>
      <c r="E1042" s="7" t="s">
        <v>648</v>
      </c>
      <c r="F1042" s="7" t="s">
        <v>648</v>
      </c>
      <c r="G1042" s="221" t="s">
        <v>2289</v>
      </c>
      <c r="H1042" s="7" t="s">
        <v>2740</v>
      </c>
      <c r="I1042" s="7" t="s">
        <v>2313</v>
      </c>
      <c r="J1042" s="209">
        <v>4065553</v>
      </c>
      <c r="K1042" s="209" t="s">
        <v>3799</v>
      </c>
      <c r="L1042" s="209">
        <v>0</v>
      </c>
      <c r="M1042" s="209">
        <v>4065553</v>
      </c>
      <c r="N1042" s="7" t="s">
        <v>1849</v>
      </c>
      <c r="O1042" s="7" t="s">
        <v>1849</v>
      </c>
    </row>
    <row r="1043" spans="1:15" x14ac:dyDescent="0.25">
      <c r="A1043" s="7" t="s">
        <v>2741</v>
      </c>
      <c r="B1043" s="7" t="s">
        <v>18</v>
      </c>
      <c r="C1043" s="7" t="s">
        <v>648</v>
      </c>
      <c r="D1043" s="7" t="s">
        <v>2724</v>
      </c>
      <c r="E1043" s="7" t="s">
        <v>648</v>
      </c>
      <c r="F1043" s="7" t="s">
        <v>648</v>
      </c>
      <c r="G1043" s="221" t="s">
        <v>2289</v>
      </c>
      <c r="H1043" s="7" t="s">
        <v>2740</v>
      </c>
      <c r="I1043" s="7" t="s">
        <v>2313</v>
      </c>
      <c r="J1043" s="209">
        <v>5000000</v>
      </c>
      <c r="K1043" s="209">
        <v>1250000</v>
      </c>
      <c r="L1043" s="209">
        <v>0</v>
      </c>
      <c r="M1043" s="209">
        <v>6250000</v>
      </c>
      <c r="N1043" s="7" t="s">
        <v>1849</v>
      </c>
      <c r="O1043" s="7" t="s">
        <v>1849</v>
      </c>
    </row>
    <row r="1044" spans="1:15" x14ac:dyDescent="0.25">
      <c r="A1044" s="7" t="s">
        <v>2741</v>
      </c>
      <c r="B1044" s="7" t="s">
        <v>18</v>
      </c>
      <c r="C1044" s="7" t="s">
        <v>648</v>
      </c>
      <c r="D1044" s="7" t="s">
        <v>2724</v>
      </c>
      <c r="E1044" s="7" t="s">
        <v>648</v>
      </c>
      <c r="F1044" s="7" t="s">
        <v>648</v>
      </c>
      <c r="G1044" s="221" t="s">
        <v>2289</v>
      </c>
      <c r="H1044" s="7" t="s">
        <v>2740</v>
      </c>
      <c r="I1044" s="7" t="s">
        <v>2313</v>
      </c>
      <c r="J1044" s="209">
        <v>4123546</v>
      </c>
      <c r="K1044" s="209">
        <v>1030886.5</v>
      </c>
      <c r="L1044" s="209">
        <v>0</v>
      </c>
      <c r="M1044" s="209">
        <v>5154432.5</v>
      </c>
      <c r="N1044" s="7" t="s">
        <v>1849</v>
      </c>
      <c r="O1044" s="7" t="s">
        <v>1849</v>
      </c>
    </row>
    <row r="1045" spans="1:15" x14ac:dyDescent="0.25">
      <c r="A1045" s="7" t="s">
        <v>2741</v>
      </c>
      <c r="B1045" s="7" t="s">
        <v>18</v>
      </c>
      <c r="C1045" s="7" t="s">
        <v>648</v>
      </c>
      <c r="D1045" s="7" t="s">
        <v>2724</v>
      </c>
      <c r="E1045" s="7" t="s">
        <v>648</v>
      </c>
      <c r="F1045" s="7" t="s">
        <v>648</v>
      </c>
      <c r="G1045" s="221" t="s">
        <v>2289</v>
      </c>
      <c r="H1045" s="7" t="s">
        <v>2740</v>
      </c>
      <c r="I1045" s="7" t="s">
        <v>2313</v>
      </c>
      <c r="J1045" s="209">
        <v>7981118</v>
      </c>
      <c r="K1045" s="209">
        <v>1995279.6</v>
      </c>
      <c r="L1045" s="209">
        <v>0</v>
      </c>
      <c r="M1045" s="209">
        <v>9976398</v>
      </c>
      <c r="N1045" s="7" t="s">
        <v>1849</v>
      </c>
      <c r="O1045" s="7" t="s">
        <v>1849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CMAQ16</vt:lpstr>
      <vt:lpstr>FFY16_Obs</vt:lpstr>
      <vt:lpstr>FFY16MPA_FV</vt:lpstr>
      <vt:lpstr>Transit_FTA</vt:lpstr>
      <vt:lpstr>Roads</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Zubek</dc:creator>
  <cp:lastModifiedBy>Jen Maddux</cp:lastModifiedBy>
  <dcterms:created xsi:type="dcterms:W3CDTF">2018-01-08T17:49:55Z</dcterms:created>
  <dcterms:modified xsi:type="dcterms:W3CDTF">2019-08-30T15:29:02Z</dcterms:modified>
</cp:coreProperties>
</file>